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4. RRT TP English/7. RRT TP English pilot testing/2024 RRT MTP pilot testing/Meetings/"/>
    </mc:Choice>
  </mc:AlternateContent>
  <xr:revisionPtr revIDLastSave="34" documentId="8_{F33FEBE7-F85F-4C04-AC7C-6DC1CBBFE68F}" xr6:coauthVersionLast="47" xr6:coauthVersionMax="47" xr10:uidLastSave="{C455D93D-17FF-4715-9BB0-EB52B83B13D4}"/>
  <bookViews>
    <workbookView xWindow="560" yWindow="780" windowWidth="18640" windowHeight="11420" firstSheet="1" activeTab="1" xr2:uid="{CDD96BDA-266F-4D47-BB88-53858D2C8267}"/>
  </bookViews>
  <sheets>
    <sheet name="Key" sheetId="7" state="hidden" r:id="rId1"/>
    <sheet name="Tool" sheetId="1" r:id="rId2"/>
    <sheet name="Analysis" sheetId="6" r:id="rId3"/>
  </sheets>
  <definedNames>
    <definedName name="_xlnm._FilterDatabase" localSheetId="1" hidden="1">Tool!$B$2:$L$19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3" i="6" l="1"/>
  <c r="G143" i="6"/>
  <c r="H143" i="6"/>
  <c r="E143" i="6" s="1"/>
  <c r="F134" i="6"/>
  <c r="G134" i="6"/>
  <c r="H134" i="6"/>
  <c r="H105" i="6"/>
  <c r="G105" i="6"/>
  <c r="F105" i="6"/>
  <c r="H114" i="6"/>
  <c r="G114" i="6"/>
  <c r="F114" i="6"/>
  <c r="G113" i="6"/>
  <c r="H113" i="6"/>
  <c r="F113" i="6"/>
  <c r="G104" i="6"/>
  <c r="H107" i="6"/>
  <c r="G107" i="6"/>
  <c r="F107" i="6"/>
  <c r="H106" i="6"/>
  <c r="G106" i="6"/>
  <c r="F106" i="6"/>
  <c r="F97" i="6"/>
  <c r="H104" i="6"/>
  <c r="F104" i="6"/>
  <c r="H98" i="6"/>
  <c r="G98" i="6"/>
  <c r="F98" i="6"/>
  <c r="H97" i="6"/>
  <c r="G97" i="6"/>
  <c r="F122" i="6"/>
  <c r="G122" i="6"/>
  <c r="H122" i="6"/>
  <c r="H127" i="6"/>
  <c r="G127" i="6"/>
  <c r="F127" i="6"/>
  <c r="H126" i="6"/>
  <c r="G126" i="6"/>
  <c r="F126" i="6"/>
  <c r="H133" i="6"/>
  <c r="G133" i="6"/>
  <c r="F133" i="6"/>
  <c r="H136" i="6"/>
  <c r="G136" i="6"/>
  <c r="F136" i="6"/>
  <c r="H135" i="6"/>
  <c r="G135" i="6"/>
  <c r="F135" i="6"/>
  <c r="H142" i="6"/>
  <c r="E142" i="6" s="1"/>
  <c r="G142" i="6"/>
  <c r="F142" i="6"/>
  <c r="I69" i="6"/>
  <c r="I75" i="6"/>
  <c r="I72" i="6"/>
  <c r="I78" i="6"/>
  <c r="F93" i="6"/>
  <c r="G93" i="6"/>
  <c r="H93" i="6"/>
  <c r="I77" i="6" l="1"/>
  <c r="I71" i="6"/>
  <c r="I76" i="6"/>
  <c r="I70" i="6"/>
  <c r="J98" i="6"/>
  <c r="J127" i="6"/>
  <c r="J134" i="6"/>
  <c r="J133" i="6"/>
  <c r="J132" i="6"/>
  <c r="J131" i="6"/>
  <c r="J130" i="6"/>
  <c r="J129" i="6"/>
  <c r="J128" i="6"/>
  <c r="J126" i="6"/>
  <c r="H132" i="6"/>
  <c r="G132" i="6"/>
  <c r="F132" i="6"/>
  <c r="H131" i="6"/>
  <c r="G131" i="6"/>
  <c r="F131" i="6"/>
  <c r="H130" i="6"/>
  <c r="G130" i="6"/>
  <c r="F130" i="6"/>
  <c r="H129" i="6"/>
  <c r="G129" i="6"/>
  <c r="F129" i="6"/>
  <c r="H128" i="6"/>
  <c r="G128" i="6"/>
  <c r="F128" i="6"/>
  <c r="J143" i="6"/>
  <c r="J142" i="6"/>
  <c r="J141" i="6"/>
  <c r="J140" i="6"/>
  <c r="J139" i="6"/>
  <c r="J138" i="6"/>
  <c r="J137" i="6"/>
  <c r="J136" i="6"/>
  <c r="J135" i="6"/>
  <c r="J114" i="6"/>
  <c r="J113" i="6"/>
  <c r="J112" i="6"/>
  <c r="J111" i="6"/>
  <c r="J110" i="6"/>
  <c r="J109" i="6"/>
  <c r="J100" i="6"/>
  <c r="J107" i="6"/>
  <c r="J106" i="6"/>
  <c r="J105" i="6" l="1"/>
  <c r="J104" i="6"/>
  <c r="J103" i="6"/>
  <c r="J102" i="6"/>
  <c r="J101" i="6"/>
  <c r="J99" i="6"/>
  <c r="J97" i="6"/>
  <c r="E104" i="6"/>
  <c r="D104" i="6"/>
  <c r="C104" i="6"/>
  <c r="C114" i="6"/>
  <c r="D114" i="6"/>
  <c r="E114" i="6"/>
  <c r="D113" i="6"/>
  <c r="E113" i="6"/>
  <c r="E105" i="6"/>
  <c r="D105" i="6"/>
  <c r="C105" i="6"/>
  <c r="H103" i="6"/>
  <c r="E103" i="6" s="1"/>
  <c r="G103" i="6"/>
  <c r="D103" i="6" s="1"/>
  <c r="F103" i="6"/>
  <c r="C103" i="6" s="1"/>
  <c r="H102" i="6"/>
  <c r="E102" i="6" s="1"/>
  <c r="G102" i="6"/>
  <c r="D102" i="6" s="1"/>
  <c r="F102" i="6"/>
  <c r="C102" i="6" s="1"/>
  <c r="H101" i="6"/>
  <c r="E101" i="6" s="1"/>
  <c r="G101" i="6"/>
  <c r="D101" i="6" s="1"/>
  <c r="F101" i="6"/>
  <c r="C101" i="6" s="1"/>
  <c r="H100" i="6"/>
  <c r="E100" i="6" s="1"/>
  <c r="G100" i="6"/>
  <c r="D100" i="6" s="1"/>
  <c r="F100" i="6"/>
  <c r="C100" i="6" s="1"/>
  <c r="H99" i="6"/>
  <c r="E99" i="6" s="1"/>
  <c r="G99" i="6"/>
  <c r="D99" i="6" s="1"/>
  <c r="F99" i="6"/>
  <c r="C99" i="6" s="1"/>
  <c r="E98" i="6"/>
  <c r="D98" i="6"/>
  <c r="C98" i="6"/>
  <c r="E97" i="6"/>
  <c r="D97" i="6"/>
  <c r="C97" i="6"/>
  <c r="G77" i="6"/>
  <c r="D77" i="6" s="1"/>
  <c r="F77" i="6"/>
  <c r="C77" i="6" s="1"/>
  <c r="E77" i="6"/>
  <c r="B77" i="6" s="1"/>
  <c r="G71" i="6"/>
  <c r="F71" i="6"/>
  <c r="E71" i="6"/>
  <c r="E69" i="6"/>
  <c r="C142" i="6"/>
  <c r="C143" i="6"/>
  <c r="D143" i="6"/>
  <c r="C127" i="6"/>
  <c r="D127" i="6"/>
  <c r="E127" i="6"/>
  <c r="C129" i="6"/>
  <c r="D129" i="6"/>
  <c r="E129" i="6"/>
  <c r="C130" i="6"/>
  <c r="D130" i="6"/>
  <c r="E130" i="6"/>
  <c r="C131" i="6"/>
  <c r="D131" i="6"/>
  <c r="E131" i="6"/>
  <c r="C132" i="6"/>
  <c r="D132" i="6"/>
  <c r="E132" i="6"/>
  <c r="C133" i="6"/>
  <c r="D133" i="6"/>
  <c r="E133" i="6"/>
  <c r="D142" i="6"/>
  <c r="G120" i="6"/>
  <c r="D120" i="6" s="1"/>
  <c r="G119" i="6"/>
  <c r="D119" i="6" s="1"/>
  <c r="G141" i="6"/>
  <c r="D141" i="6" s="1"/>
  <c r="G140" i="6"/>
  <c r="D140" i="6" s="1"/>
  <c r="G139" i="6"/>
  <c r="D139" i="6" s="1"/>
  <c r="G138" i="6"/>
  <c r="D138" i="6" s="1"/>
  <c r="G137" i="6"/>
  <c r="D137" i="6" s="1"/>
  <c r="D136" i="6"/>
  <c r="D135" i="6"/>
  <c r="D134" i="6"/>
  <c r="D128" i="6"/>
  <c r="D126" i="6"/>
  <c r="G125" i="6"/>
  <c r="D125" i="6" s="1"/>
  <c r="G124" i="6"/>
  <c r="D124" i="6" s="1"/>
  <c r="G123" i="6"/>
  <c r="D123" i="6" s="1"/>
  <c r="D122" i="6"/>
  <c r="G121" i="6"/>
  <c r="D121" i="6" s="1"/>
  <c r="G118" i="6"/>
  <c r="D118" i="6" s="1"/>
  <c r="F72" i="6"/>
  <c r="C72" i="6" s="1"/>
  <c r="F75" i="6"/>
  <c r="C75" i="6" s="1"/>
  <c r="F76" i="6"/>
  <c r="C76" i="6" s="1"/>
  <c r="F78" i="6"/>
  <c r="C78" i="6" s="1"/>
  <c r="G78" i="6"/>
  <c r="D78" i="6" s="1"/>
  <c r="G76" i="6"/>
  <c r="D76" i="6" s="1"/>
  <c r="G75" i="6"/>
  <c r="D75" i="6" s="1"/>
  <c r="G72" i="6"/>
  <c r="G70" i="6"/>
  <c r="G69" i="6"/>
  <c r="F70" i="6"/>
  <c r="F69" i="6"/>
  <c r="E72" i="6"/>
  <c r="B72" i="6" s="1"/>
  <c r="E75" i="6"/>
  <c r="B75" i="6" s="1"/>
  <c r="E78" i="6"/>
  <c r="B78" i="6" s="1"/>
  <c r="E76" i="6"/>
  <c r="B76" i="6" s="1"/>
  <c r="E70" i="6"/>
  <c r="H92" i="6"/>
  <c r="E92" i="6" s="1"/>
  <c r="G92" i="6"/>
  <c r="D92" i="6" s="1"/>
  <c r="F92" i="6"/>
  <c r="C92" i="6" s="1"/>
  <c r="H121" i="6"/>
  <c r="E121" i="6" s="1"/>
  <c r="F121" i="6"/>
  <c r="C121" i="6" s="1"/>
  <c r="H141" i="6"/>
  <c r="E141" i="6" s="1"/>
  <c r="H140" i="6"/>
  <c r="E140" i="6" s="1"/>
  <c r="H139" i="6"/>
  <c r="E139" i="6" s="1"/>
  <c r="H138" i="6"/>
  <c r="E138" i="6" s="1"/>
  <c r="H137" i="6"/>
  <c r="E137" i="6" s="1"/>
  <c r="E136" i="6"/>
  <c r="E135" i="6"/>
  <c r="E134" i="6"/>
  <c r="E128" i="6"/>
  <c r="E126" i="6"/>
  <c r="H125" i="6"/>
  <c r="E125" i="6" s="1"/>
  <c r="H124" i="6"/>
  <c r="E124" i="6" s="1"/>
  <c r="H123" i="6"/>
  <c r="E123" i="6" s="1"/>
  <c r="E122" i="6"/>
  <c r="H120" i="6"/>
  <c r="E120" i="6" s="1"/>
  <c r="H119" i="6"/>
  <c r="E119" i="6" s="1"/>
  <c r="H118" i="6"/>
  <c r="E118" i="6" s="1"/>
  <c r="F141" i="6"/>
  <c r="C141" i="6" s="1"/>
  <c r="F140" i="6"/>
  <c r="C140" i="6" s="1"/>
  <c r="F139" i="6"/>
  <c r="C139" i="6" s="1"/>
  <c r="F138" i="6"/>
  <c r="C138" i="6" s="1"/>
  <c r="F137" i="6"/>
  <c r="C137" i="6" s="1"/>
  <c r="C136" i="6"/>
  <c r="C135" i="6"/>
  <c r="C134" i="6"/>
  <c r="C128" i="6"/>
  <c r="C126" i="6"/>
  <c r="F125" i="6"/>
  <c r="C125" i="6" s="1"/>
  <c r="F124" i="6"/>
  <c r="C124" i="6" s="1"/>
  <c r="F123" i="6"/>
  <c r="C123" i="6" s="1"/>
  <c r="C122" i="6"/>
  <c r="F120" i="6"/>
  <c r="C120" i="6" s="1"/>
  <c r="F119" i="6"/>
  <c r="C119" i="6" s="1"/>
  <c r="F118" i="6"/>
  <c r="C118" i="6" s="1"/>
  <c r="J125" i="6"/>
  <c r="J124" i="6"/>
  <c r="J123" i="6"/>
  <c r="J122" i="6"/>
  <c r="J121" i="6"/>
  <c r="J120" i="6"/>
  <c r="J119" i="6"/>
  <c r="J118" i="6"/>
  <c r="J108" i="6"/>
  <c r="J95" i="6"/>
  <c r="J96" i="6"/>
  <c r="J93" i="6"/>
  <c r="J92" i="6"/>
  <c r="J94" i="6"/>
  <c r="J91" i="6"/>
  <c r="J90" i="6"/>
  <c r="J89" i="6"/>
  <c r="C113" i="6"/>
  <c r="H112" i="6"/>
  <c r="E112" i="6" s="1"/>
  <c r="G112" i="6"/>
  <c r="D112" i="6" s="1"/>
  <c r="F112" i="6"/>
  <c r="C112" i="6" s="1"/>
  <c r="H111" i="6"/>
  <c r="E111" i="6" s="1"/>
  <c r="G111" i="6"/>
  <c r="D111" i="6" s="1"/>
  <c r="F111" i="6"/>
  <c r="C111" i="6" s="1"/>
  <c r="H110" i="6"/>
  <c r="E110" i="6" s="1"/>
  <c r="G110" i="6"/>
  <c r="D110" i="6" s="1"/>
  <c r="F110" i="6"/>
  <c r="C110" i="6" s="1"/>
  <c r="H109" i="6"/>
  <c r="E109" i="6" s="1"/>
  <c r="G109" i="6"/>
  <c r="D109" i="6" s="1"/>
  <c r="F109" i="6"/>
  <c r="C109" i="6" s="1"/>
  <c r="H108" i="6"/>
  <c r="E108" i="6" s="1"/>
  <c r="G108" i="6"/>
  <c r="D108" i="6" s="1"/>
  <c r="F108" i="6"/>
  <c r="C108" i="6" s="1"/>
  <c r="E107" i="6"/>
  <c r="D107" i="6"/>
  <c r="C107" i="6"/>
  <c r="E106" i="6"/>
  <c r="D106" i="6"/>
  <c r="C106" i="6"/>
  <c r="H96" i="6"/>
  <c r="E96" i="6" s="1"/>
  <c r="G96" i="6"/>
  <c r="D96" i="6" s="1"/>
  <c r="F96" i="6"/>
  <c r="C96" i="6" s="1"/>
  <c r="F95" i="6"/>
  <c r="C95" i="6" s="1"/>
  <c r="G95" i="6"/>
  <c r="D95" i="6" s="1"/>
  <c r="H95" i="6"/>
  <c r="E95" i="6" s="1"/>
  <c r="H94" i="6"/>
  <c r="E94" i="6" s="1"/>
  <c r="G94" i="6"/>
  <c r="D94" i="6" s="1"/>
  <c r="F94" i="6"/>
  <c r="C94" i="6" s="1"/>
  <c r="E93" i="6"/>
  <c r="D93" i="6"/>
  <c r="C93" i="6"/>
  <c r="H91" i="6"/>
  <c r="E91" i="6" s="1"/>
  <c r="G91" i="6"/>
  <c r="D91" i="6" s="1"/>
  <c r="F91" i="6"/>
  <c r="C91" i="6" s="1"/>
  <c r="H90" i="6"/>
  <c r="E90" i="6" s="1"/>
  <c r="G90" i="6"/>
  <c r="D90" i="6" s="1"/>
  <c r="F90" i="6"/>
  <c r="C90" i="6" s="1"/>
  <c r="H89" i="6"/>
  <c r="E89" i="6" s="1"/>
  <c r="G89" i="6"/>
  <c r="D89" i="6" s="1"/>
  <c r="F89" i="6"/>
  <c r="C89" i="6" s="1"/>
  <c r="I128" i="6" l="1"/>
  <c r="K128" i="6" s="1"/>
  <c r="I134" i="6"/>
  <c r="K134" i="6" s="1"/>
  <c r="I133" i="6"/>
  <c r="K133" i="6" s="1"/>
  <c r="I129" i="6"/>
  <c r="K129" i="6" s="1"/>
  <c r="I130" i="6"/>
  <c r="K130" i="6" s="1"/>
  <c r="I132" i="6"/>
  <c r="K132" i="6" s="1"/>
  <c r="I131" i="6"/>
  <c r="K131" i="6" s="1"/>
  <c r="I127" i="6"/>
  <c r="K127" i="6" s="1"/>
  <c r="I143" i="6"/>
  <c r="K143" i="6" s="1"/>
  <c r="I114" i="6"/>
  <c r="K114" i="6" s="1"/>
  <c r="I103" i="6"/>
  <c r="K103" i="6" s="1"/>
  <c r="I102" i="6"/>
  <c r="K102" i="6" s="1"/>
  <c r="I105" i="6"/>
  <c r="K105" i="6" s="1"/>
  <c r="I104" i="6"/>
  <c r="K104" i="6" s="1"/>
  <c r="I101" i="6"/>
  <c r="K101" i="6" s="1"/>
  <c r="I100" i="6"/>
  <c r="K100" i="6" s="1"/>
  <c r="I121" i="6"/>
  <c r="K121" i="6" s="1"/>
  <c r="I92" i="6"/>
  <c r="K92" i="6" s="1"/>
  <c r="I141" i="6"/>
  <c r="K141" i="6" s="1"/>
  <c r="I140" i="6"/>
  <c r="K140" i="6" s="1"/>
  <c r="I136" i="6"/>
  <c r="K136" i="6" s="1"/>
  <c r="I125" i="6"/>
  <c r="K125" i="6" s="1"/>
  <c r="I119" i="6"/>
  <c r="K119" i="6" s="1"/>
  <c r="I135" i="6"/>
  <c r="K135" i="6" s="1"/>
  <c r="I123" i="6"/>
  <c r="K123" i="6" s="1"/>
  <c r="I138" i="6"/>
  <c r="K138" i="6" s="1"/>
  <c r="I118" i="6"/>
  <c r="K118" i="6" s="1"/>
  <c r="I120" i="6"/>
  <c r="K120" i="6" s="1"/>
  <c r="I122" i="6"/>
  <c r="K122" i="6" s="1"/>
  <c r="I142" i="6"/>
  <c r="K142" i="6" s="1"/>
  <c r="I124" i="6"/>
  <c r="K124" i="6" s="1"/>
  <c r="I137" i="6"/>
  <c r="K137" i="6" s="1"/>
  <c r="I126" i="6"/>
  <c r="K126" i="6" s="1"/>
  <c r="I139" i="6"/>
  <c r="K139" i="6" s="1"/>
  <c r="H78" i="6"/>
  <c r="C83" i="6" s="1"/>
  <c r="H76" i="6"/>
  <c r="C81" i="6" s="1"/>
  <c r="H75" i="6"/>
  <c r="C80" i="6" s="1"/>
  <c r="H77" i="6"/>
  <c r="C82" i="6" s="1"/>
  <c r="I89" i="6"/>
  <c r="K89" i="6" s="1"/>
  <c r="I106" i="6"/>
  <c r="K106" i="6" s="1"/>
  <c r="I93" i="6"/>
  <c r="K93" i="6" s="1"/>
  <c r="I107" i="6"/>
  <c r="K107" i="6" s="1"/>
  <c r="I96" i="6"/>
  <c r="K96" i="6" s="1"/>
  <c r="I91" i="6"/>
  <c r="K91" i="6" s="1"/>
  <c r="I109" i="6"/>
  <c r="K109" i="6" s="1"/>
  <c r="I99" i="6"/>
  <c r="K99" i="6" s="1"/>
  <c r="I94" i="6"/>
  <c r="K94" i="6" s="1"/>
  <c r="I108" i="6"/>
  <c r="K108" i="6" s="1"/>
  <c r="I95" i="6"/>
  <c r="K95" i="6" s="1"/>
  <c r="I98" i="6"/>
  <c r="K98" i="6" s="1"/>
  <c r="I90" i="6"/>
  <c r="K90" i="6" s="1"/>
  <c r="I97" i="6"/>
  <c r="K97" i="6" s="1"/>
  <c r="I112" i="6"/>
  <c r="K112" i="6" s="1"/>
  <c r="I111" i="6"/>
  <c r="K111" i="6" s="1"/>
  <c r="I113" i="6"/>
  <c r="K113" i="6" s="1"/>
  <c r="I110" i="6"/>
  <c r="K110" i="6" s="1"/>
  <c r="D72" i="6" l="1"/>
  <c r="D71" i="6"/>
  <c r="D70" i="6"/>
  <c r="D69" i="6"/>
  <c r="C71" i="6"/>
  <c r="C70" i="6"/>
  <c r="C69" i="6"/>
  <c r="B71" i="6"/>
  <c r="B70" i="6"/>
  <c r="B69" i="6"/>
  <c r="H69" i="6" l="1"/>
  <c r="B80" i="6" s="1"/>
  <c r="H70" i="6"/>
  <c r="B81" i="6" s="1"/>
  <c r="H71" i="6"/>
  <c r="B82" i="6" s="1"/>
  <c r="H72" i="6"/>
  <c r="B83" i="6" s="1"/>
</calcChain>
</file>

<file path=xl/sharedStrings.xml><?xml version="1.0" encoding="utf-8"?>
<sst xmlns="http://schemas.openxmlformats.org/spreadsheetml/2006/main" count="424" uniqueCount="149">
  <si>
    <t>Exists</t>
  </si>
  <si>
    <t>Capacity</t>
  </si>
  <si>
    <t>Operational Status</t>
  </si>
  <si>
    <t>Priority</t>
  </si>
  <si>
    <t>Yes</t>
  </si>
  <si>
    <t>No capacity</t>
  </si>
  <si>
    <t>Not operational</t>
  </si>
  <si>
    <t>No intervention need</t>
  </si>
  <si>
    <t>No</t>
  </si>
  <si>
    <t>Partial capacity</t>
  </si>
  <si>
    <t>Limited operational functions</t>
  </si>
  <si>
    <t>Short-term priority</t>
  </si>
  <si>
    <t>Implemented capacity</t>
  </si>
  <si>
    <t>Fully operational</t>
  </si>
  <si>
    <t>Medium-term priority</t>
  </si>
  <si>
    <t>Not applicable</t>
  </si>
  <si>
    <t>Long-term priority</t>
  </si>
  <si>
    <t>Unknown</t>
  </si>
  <si>
    <t># </t>
  </si>
  <si>
    <t>Section</t>
  </si>
  <si>
    <t>SubSection</t>
  </si>
  <si>
    <t>Indicator </t>
  </si>
  <si>
    <t>Date Completed/ Last Updated</t>
  </si>
  <si>
    <t>Capacity </t>
  </si>
  <si>
    <t>Operational Status </t>
  </si>
  <si>
    <t>Priority </t>
  </si>
  <si>
    <t>Lead Agency </t>
  </si>
  <si>
    <t>In-Country POC </t>
  </si>
  <si>
    <t>Comments</t>
  </si>
  <si>
    <t>EMT</t>
  </si>
  <si>
    <t>Plans and Processes</t>
  </si>
  <si>
    <t>Country-specific emergency risk and readiness assessment completed within last 3 years (for example, STAR)</t>
  </si>
  <si>
    <t>National EMT included in country’s strategic emergency plan </t>
  </si>
  <si>
    <t>National EMT included in country’s operational emergency plan </t>
  </si>
  <si>
    <t>Established legal contracts/agreements with other national ministries/agencies for EMT mobilization </t>
  </si>
  <si>
    <t>National EMT SOPs drafted and finalized by all relevant stakeholders and leadership  </t>
  </si>
  <si>
    <t>Subnational EMT SOPs drafted and finalized by all relevant stakeholders and leadership </t>
  </si>
  <si>
    <t>National EMT trained, organized, and ready to deploy at the national level </t>
  </si>
  <si>
    <r>
      <t xml:space="preserve">Subnational EMT trained, organized, and ready to deploy at the subnational </t>
    </r>
    <r>
      <rPr>
        <sz val="10"/>
        <color rgb="FFFF0000"/>
        <rFont val="Calibri"/>
        <family val="2"/>
        <scheme val="minor"/>
      </rPr>
      <t> level </t>
    </r>
  </si>
  <si>
    <t>Administrative Considerations</t>
  </si>
  <si>
    <r>
      <t xml:space="preserve">Identified human resources to manage/support the EMT program before </t>
    </r>
    <r>
      <rPr>
        <i/>
        <sz val="10"/>
        <color rgb="FFFF0000"/>
        <rFont val="Calibri"/>
        <family val="2"/>
        <scheme val="minor"/>
      </rPr>
      <t>and</t>
    </r>
    <r>
      <rPr>
        <sz val="10"/>
        <color rgb="FFFF0000"/>
        <rFont val="Calibri"/>
        <family val="2"/>
        <scheme val="minor"/>
      </rPr>
      <t xml:space="preserve"> during a public health event </t>
    </r>
  </si>
  <si>
    <t>EMT management staff are equipped with the necessary technological tools to collect and manage data and information pertaining to the EMT members (i.e., laptops, internet, survey tools, dashboards, etc.) </t>
  </si>
  <si>
    <t>EMT management staff have been trained on operating a sustainable EMT program </t>
  </si>
  <si>
    <t>Established EMT budget considering the requisite preparedness and response operations (i.e., salary, per diem, training programs, travel, equipment, vaccinations, database maintenance, etc.) </t>
  </si>
  <si>
    <r>
      <t>Established sustainable [</t>
    </r>
    <r>
      <rPr>
        <i/>
        <sz val="10"/>
        <color rgb="FFFF0000"/>
        <rFont val="Calibri"/>
        <family val="2"/>
        <scheme val="minor"/>
      </rPr>
      <t>internal]</t>
    </r>
    <r>
      <rPr>
        <sz val="10"/>
        <color rgb="FFFF0000"/>
        <rFont val="Calibri"/>
        <family val="2"/>
        <scheme val="minor"/>
      </rPr>
      <t xml:space="preserve"> financial support for the EMT program to support EMT administrative costs, member readiness, and deployments </t>
    </r>
  </si>
  <si>
    <t>Identified resources and mechanisms to ensure EMT safety, health, and wellbeing including in EMT planning (e.g., medical/disability/life insurance, medical care, mental health care, emergency evacuation etc.) </t>
  </si>
  <si>
    <t>Established system for identifying and procuring necessary EMT equipment, including warehouse maintenance of medical and non-medical supplies </t>
  </si>
  <si>
    <t>Staffing and Rostering</t>
  </si>
  <si>
    <t>Recruitment process targets multisectoral staff with differing technical expertise </t>
  </si>
  <si>
    <t>Formalized EMT recruitment process with inclusion/exclusion criteria and aligned with country risk assessment </t>
  </si>
  <si>
    <t>Established process for continual recruitment based on attrition </t>
  </si>
  <si>
    <t>Established process for data collection of EMT members skills, experience and contact information </t>
  </si>
  <si>
    <t>Developed up-to-date database (aka roster) of key information about EMT members, including medical licensing and registration as needed, to allow for rapid and tailored selections based on the public health event </t>
  </si>
  <si>
    <t>Training Program</t>
  </si>
  <si>
    <t>Established continual EMT training program aligned to standardized emergency competencies </t>
  </si>
  <si>
    <t>Implemented onboarding training for new EMT members including the provision of initial all-hazards technical, operational, and administrative training </t>
  </si>
  <si>
    <t>Established continual training provision for existing EMT members on supplementary technical skills related to field deployments, soft skills, and response updates </t>
  </si>
  <si>
    <t>Developed internal repository of disease or event specific just-in-time trainings </t>
  </si>
  <si>
    <t>Activation and Pre-Deployment</t>
  </si>
  <si>
    <t>Developed pre-deployment standard operating procedures (SOPs) (e.g., EMT composition, briefing, just-in-time training, equipment, etc.) </t>
  </si>
  <si>
    <t>Established defined, written criteria for activation of EMT program to deploy EMT members to the field </t>
  </si>
  <si>
    <t>Established EMT pre-deployment briefing process </t>
  </si>
  <si>
    <t>EMT pre-deployment disease-specific trainings identified and conducted for priority diseases </t>
  </si>
  <si>
    <t>Deployment</t>
  </si>
  <si>
    <t>Developed deployment SOPs (e.g., communication, reporting, team evolution, etc.) </t>
  </si>
  <si>
    <t>Defined mechanisms (e.g., templates, modality, etc.) for EMT reporting to the EMT manager, EMTCC or other coordination unit </t>
  </si>
  <si>
    <t>Developed standard terms of reference for commonly deployed positions </t>
  </si>
  <si>
    <t>Developed field information sharing protocols and procedures through standardized reporting template (e.g. EMT case based MDS) </t>
  </si>
  <si>
    <t>Defined criteria for demobilization of EMT member(s) to return home from the field </t>
  </si>
  <si>
    <t>Developed demobilization procedures (e.g., notification, handover close-out procedures) </t>
  </si>
  <si>
    <t>Post-Deployment</t>
  </si>
  <si>
    <t>Developed post-deployment SOPs (e.g., demobilization criteria, debriefs, etc.) </t>
  </si>
  <si>
    <t>Developed process for providing medical and/or mental health resources after deployment </t>
  </si>
  <si>
    <t>Established debrief and/or after-action review process </t>
  </si>
  <si>
    <t>Monitoring and Evaluation</t>
  </si>
  <si>
    <t>Developed monitoring, evaluation and improvement planning of the EMT program (e.g., Surveys, focus groups, interviews, observation, after action review, post-deployment debrief etc.) </t>
  </si>
  <si>
    <t>Established system for data collection and data management of EMT activities conducted </t>
  </si>
  <si>
    <t>Developed process for updating SOPs with lessons learned from evaluation of EMT pre-deployment, deployment, and post-deployment activities </t>
  </si>
  <si>
    <t>Developed corrective action planning leading to administrative/training changes in the EMT program   </t>
  </si>
  <si>
    <t>Cross-Border Considerations</t>
  </si>
  <si>
    <t>Established a cross-border collaborative agreement, legal frameworks, memoranda of understanding, or other to facilitate bilateral, multilateral, or other regional EMT deployments </t>
  </si>
  <si>
    <t>Participation of national EMT members in joint cross-border training, table-top and/or simulation exercise [2]</t>
  </si>
  <si>
    <t>Training of national EMT personnel on the implementation of response plan and corresponding SOPs. </t>
  </si>
  <si>
    <t>RRT</t>
  </si>
  <si>
    <t>National RRT Program included in country’s strategic emergency plan </t>
  </si>
  <si>
    <t>National RRT Program included in country’s operational emergency plan </t>
  </si>
  <si>
    <t>Established legal contracts/agreements with other national ministries/agencies for multisectoral RRT mobilization </t>
  </si>
  <si>
    <t>National RRT SOPs drafted and finalized by all relevant stakeholders and leadership  </t>
  </si>
  <si>
    <t>Subnational RRT SOPs drafted and finalized by all relevant stakeholders and leadership </t>
  </si>
  <si>
    <t>National RRT trained, organized, and ready to deploy at the national level </t>
  </si>
  <si>
    <t>Subnational RRT trained, organized, and ready to deploy at the national level </t>
  </si>
  <si>
    <r>
      <t xml:space="preserve">Identified human resources to manage/support the RRT program before </t>
    </r>
    <r>
      <rPr>
        <i/>
        <sz val="10"/>
        <color theme="1"/>
        <rFont val="Calibri"/>
        <family val="2"/>
        <scheme val="minor"/>
      </rPr>
      <t>and</t>
    </r>
    <r>
      <rPr>
        <sz val="10"/>
        <color theme="1"/>
        <rFont val="Calibri"/>
        <family val="2"/>
        <scheme val="minor"/>
      </rPr>
      <t xml:space="preserve"> during a public health event </t>
    </r>
  </si>
  <si>
    <t>RRT management staff are equipped with the necessary technological tools to collect and manage data and information pertaining to the RRT members (i.e., laptops, internet, survey tools, dashboards, etc.) </t>
  </si>
  <si>
    <t>RRT management staff have been trained on operating a sustainable RRT program </t>
  </si>
  <si>
    <t>Established RRT budget considering the requisite preparedness and response operations (i.e., salary, per diem, training programs, travel, equipment, vaccinations, database maintenance, etc.) </t>
  </si>
  <si>
    <r>
      <t xml:space="preserve">Established sustainable </t>
    </r>
    <r>
      <rPr>
        <i/>
        <sz val="10"/>
        <color theme="1"/>
        <rFont val="Calibri"/>
        <family val="2"/>
        <scheme val="minor"/>
      </rPr>
      <t>internal</t>
    </r>
    <r>
      <rPr>
        <sz val="10"/>
        <color theme="1"/>
        <rFont val="Calibri"/>
        <family val="2"/>
        <scheme val="minor"/>
      </rPr>
      <t xml:space="preserve"> financial support for the RRT program to support RRT administrative costs, member readiness, and deployments </t>
    </r>
  </si>
  <si>
    <t>Identified resources and mechanisms to ensure RRT safety, health, and wellbeing including in RRT planning (e.g., medical/disability/life insurance, medical care, mental health care, emergency evacuation etc.) </t>
  </si>
  <si>
    <t>Recruitment process targets multisectoral staff with differing technical expertise to best utilize a One Health approach to outbreak response </t>
  </si>
  <si>
    <t>Formalized RRT recruitment process with inclusion/exclusion criteria and aligned with country risk assessment </t>
  </si>
  <si>
    <t>Established process for data collection of RRT members skills, experience and contact information </t>
  </si>
  <si>
    <t>Developed up-to-date database (aka roster) of key information about RRT members to allow for rapid and tailored selections based on the public health event </t>
  </si>
  <si>
    <t>Established continual RRT training program aligned to standardized emergency competencies </t>
  </si>
  <si>
    <t>Implemented onboarding training for new RRT members including the provision of initial all-hazards technical, operational, and administrative training </t>
  </si>
  <si>
    <t>Established continual training provision for existing RRT members on supplementary technical skills related to field deployments, soft skills, and response updates </t>
  </si>
  <si>
    <t>One Health integrated into training requirements for RRTs </t>
  </si>
  <si>
    <t>Developed pre-deployment standard operating procedures (SOPs) (e.g., RRT composition, briefing, just-in-time training, equipment, etc.) </t>
  </si>
  <si>
    <t>Established defined, written criteria for activation of RRT program to deploy RRT members to the field </t>
  </si>
  <si>
    <t>Established RRT pre-deployment briefing process </t>
  </si>
  <si>
    <t>RRT pre-deployment disease-specific trainings identified and conducted for priority diseases </t>
  </si>
  <si>
    <t>Established system for identifying and procuring necessary RRT equipment </t>
  </si>
  <si>
    <t>Defined mechanisms (e.g., templates, modality, etc.) for public health investigatons and reporting (to the RRT manager and EOC or other coordination unit etc)</t>
  </si>
  <si>
    <t>Developed field information sharing protocols and procedures </t>
  </si>
  <si>
    <t>Defined criteria for demobilization of RRT member(s) to return home from the field </t>
  </si>
  <si>
    <t>Developed monitoring, evaluation and improvement planning of the RRT program (e.g., Surveys, focus groups, interviews, observation, after action review, post-deployment debrief etc.) </t>
  </si>
  <si>
    <t>Established system for data collection and data management of RRT activities conducted </t>
  </si>
  <si>
    <t>Developed process for updating SOPs with lessons learned from evaluation of RRT pre-deployment, deployment, and post-deployment activities </t>
  </si>
  <si>
    <t>Developed corrective action planning leading to administrative/training changes in the RRT program   </t>
  </si>
  <si>
    <t>Established a cross-border collaborative agreement, legal frameworks, memoranda of understanding, or other to facilitate bilateral, multilateral, or other regional RRT deployments </t>
  </si>
  <si>
    <t>Participation of national RRT members in joint cross-border training, table-top and/or simulation exercise [2]</t>
  </si>
  <si>
    <t>Training of national RRT personnel on the implementation of response plan and corresponding SOPs. </t>
  </si>
  <si>
    <t xml:space="preserve"> Radar Chart</t>
  </si>
  <si>
    <t>Capacity Score</t>
  </si>
  <si>
    <t>Indicator Category</t>
  </si>
  <si>
    <t>Sum</t>
  </si>
  <si>
    <t>Total</t>
  </si>
  <si>
    <t>F&amp;C</t>
  </si>
  <si>
    <t>EOC/IMS</t>
  </si>
  <si>
    <t>Operational Score</t>
  </si>
  <si>
    <t>Operational</t>
  </si>
  <si>
    <t>Frameworks &amp; Coordination</t>
  </si>
  <si>
    <t>Rapid Response Teams</t>
  </si>
  <si>
    <t>Emergency Medical Teams</t>
  </si>
  <si>
    <t>Emergency Operations Center/ Incident Management System</t>
  </si>
  <si>
    <t>Bar Chart</t>
  </si>
  <si>
    <t>Calcs</t>
  </si>
  <si>
    <t>Percentage</t>
  </si>
  <si>
    <t>Planning</t>
  </si>
  <si>
    <t>Stakeholder Engagement and Coordination Mechanisms</t>
  </si>
  <si>
    <t>Reporting</t>
  </si>
  <si>
    <t>Financing</t>
  </si>
  <si>
    <t>IMS</t>
  </si>
  <si>
    <t>System</t>
  </si>
  <si>
    <t>Staff/HR</t>
  </si>
  <si>
    <t>EOC</t>
  </si>
  <si>
    <t>Admin Considerations</t>
  </si>
  <si>
    <t>Monitoring &amp; Evaluation</t>
  </si>
  <si>
    <t>Operations</t>
  </si>
  <si>
    <t>Cross-Border Considerations (if applicable) </t>
  </si>
  <si>
    <t xml:space="preserve">Cross-Border Considerations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</si>
</sst>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[$-409]mmm\-yy;@"/>
  </numFmts>
  <fonts count="1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0"/>
      <name val="Calibri"/>
      <family val="2"/>
    </font>
    <font>
      <strike/>
      <sz val="10"/>
      <name val="Calibri"/>
      <family val="2"/>
    </font>
    <font>
      <strike/>
      <sz val="10"/>
      <color theme="1"/>
      <name val="Calibri"/>
      <family val="2"/>
      <scheme val="minor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/>
    <xf numFmtId="0" fontId="0" fillId="0" borderId="2" xfId="0" applyBorder="1"/>
    <xf numFmtId="0" fontId="0" fillId="2" borderId="2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6" xfId="0" applyFill="1" applyBorder="1"/>
    <xf numFmtId="164" fontId="0" fillId="2" borderId="8" xfId="0" applyNumberFormat="1" applyFill="1" applyBorder="1"/>
    <xf numFmtId="0" fontId="0" fillId="2" borderId="12" xfId="0" applyFill="1" applyBorder="1" applyAlignment="1">
      <alignment horizontal="center"/>
    </xf>
    <xf numFmtId="0" fontId="0" fillId="2" borderId="0" xfId="0" applyFill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164" fontId="0" fillId="2" borderId="17" xfId="0" applyNumberFormat="1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7" xfId="0" applyFill="1" applyBorder="1"/>
    <xf numFmtId="0" fontId="0" fillId="0" borderId="28" xfId="0" applyBorder="1"/>
    <xf numFmtId="0" fontId="0" fillId="0" borderId="12" xfId="0" applyBorder="1"/>
    <xf numFmtId="9" fontId="0" fillId="0" borderId="5" xfId="0" applyNumberFormat="1" applyBorder="1"/>
    <xf numFmtId="0" fontId="0" fillId="0" borderId="29" xfId="0" applyBorder="1"/>
    <xf numFmtId="0" fontId="0" fillId="0" borderId="13" xfId="0" applyBorder="1"/>
    <xf numFmtId="0" fontId="0" fillId="0" borderId="23" xfId="0" applyBorder="1"/>
    <xf numFmtId="0" fontId="0" fillId="0" borderId="18" xfId="0" applyBorder="1"/>
    <xf numFmtId="0" fontId="0" fillId="2" borderId="12" xfId="0" applyFill="1" applyBorder="1"/>
    <xf numFmtId="165" fontId="2" fillId="0" borderId="0" xfId="0" applyNumberFormat="1" applyFont="1" applyAlignment="1">
      <alignment horizontal="center" vertical="center" wrapText="1"/>
    </xf>
    <xf numFmtId="9" fontId="0" fillId="0" borderId="0" xfId="0" applyNumberFormat="1"/>
    <xf numFmtId="0" fontId="0" fillId="0" borderId="11" xfId="0" applyBorder="1"/>
    <xf numFmtId="0" fontId="3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1" fontId="8" fillId="3" borderId="30" xfId="0" applyNumberFormat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10" fillId="0" borderId="0" xfId="0" applyFont="1"/>
    <xf numFmtId="1" fontId="1" fillId="0" borderId="0" xfId="0" applyNumberFormat="1" applyFont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1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65" formatCode="[$-409]mmm\-yy;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" formatCode="0"/>
      <alignment horizontal="center" vertical="center" textRotation="0" wrapText="1" indent="0" justifyLastLine="0" shrinkToFit="0" readingOrder="0"/>
    </dxf>
    <dxf>
      <border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Invisible" pivot="0" table="0" count="0" xr9:uid="{CD4C1B69-5EA7-4B0F-94A9-45492BDA452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Capacity and Operational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Capacity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Analysis!$A$118:$B$142</c15:sqref>
                  </c15:fullRef>
                </c:ext>
              </c:extLst>
              <c:f>(Analysis!$A$118:$B$122,Analysis!$A$125:$B$142)</c:f>
              <c:multiLvlStrCache>
                <c:ptCount val="23"/>
                <c:lvl>
                  <c:pt idx="0">
                    <c:v>Planning</c:v>
                  </c:pt>
                  <c:pt idx="1">
                    <c:v>Stakeholder Engagement and Coordination Mechanisms</c:v>
                  </c:pt>
                  <c:pt idx="2">
                    <c:v>Reporting</c:v>
                  </c:pt>
                  <c:pt idx="3">
                    <c:v>Financing</c:v>
                  </c:pt>
                  <c:pt idx="4">
                    <c:v>Cross-Border Considerations (if applicable) </c:v>
                  </c:pt>
                  <c:pt idx="5">
                    <c:v>EOC</c:v>
                  </c:pt>
                  <c:pt idx="6">
                    <c:v>Planning</c:v>
                  </c:pt>
                  <c:pt idx="7">
                    <c:v>Admin Considerations</c:v>
                  </c:pt>
                  <c:pt idx="8">
                    <c:v>Staffing and Rostering</c:v>
                  </c:pt>
                  <c:pt idx="9">
                    <c:v>Training Program</c:v>
                  </c:pt>
                  <c:pt idx="10">
                    <c:v>Activation and Pre-Deployment</c:v>
                  </c:pt>
                  <c:pt idx="11">
                    <c:v>Deployment</c:v>
                  </c:pt>
                  <c:pt idx="12">
                    <c:v>Post-Deployment</c:v>
                  </c:pt>
                  <c:pt idx="13">
                    <c:v>Monitoring &amp; Evaluation</c:v>
                  </c:pt>
                  <c:pt idx="14">
                    <c:v>Cross-Border Considerations </c:v>
                  </c:pt>
                  <c:pt idx="15">
                    <c:v>Planning</c:v>
                  </c:pt>
                  <c:pt idx="16">
                    <c:v>Admin Considerations</c:v>
                  </c:pt>
                  <c:pt idx="17">
                    <c:v>Staffing and Rostering</c:v>
                  </c:pt>
                  <c:pt idx="18">
                    <c:v>Training Program</c:v>
                  </c:pt>
                  <c:pt idx="19">
                    <c:v>Activation and Pre-Deployment</c:v>
                  </c:pt>
                  <c:pt idx="20">
                    <c:v>Deployment</c:v>
                  </c:pt>
                  <c:pt idx="21">
                    <c:v>Post-Deployment</c:v>
                  </c:pt>
                  <c:pt idx="22">
                    <c:v>Monitoring &amp; Evaluation</c:v>
                  </c:pt>
                </c:lvl>
                <c:lvl>
                  <c:pt idx="0">
                    <c:v>Frameworks &amp; Coordination</c:v>
                  </c:pt>
                  <c:pt idx="5">
                    <c:v>EOC</c:v>
                  </c:pt>
                  <c:pt idx="6">
                    <c:v>EMT</c:v>
                  </c:pt>
                  <c:pt idx="15">
                    <c:v>RRT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Analysis!$K$89:$K$113</c15:sqref>
                  </c15:fullRef>
                </c:ext>
              </c:extLst>
              <c:f>(Analysis!$K$89:$K$93,Analysis!$K$96:$K$113)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6-41B4-9F17-15DA5E170FC6}"/>
            </c:ext>
          </c:extLst>
        </c:ser>
        <c:ser>
          <c:idx val="1"/>
          <c:order val="1"/>
          <c:tx>
            <c:v>Operational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Analysis!$A$118:$B$142</c15:sqref>
                  </c15:fullRef>
                </c:ext>
              </c:extLst>
              <c:f>(Analysis!$A$118:$B$122,Analysis!$A$125:$B$142)</c:f>
              <c:multiLvlStrCache>
                <c:ptCount val="23"/>
                <c:lvl>
                  <c:pt idx="0">
                    <c:v>Planning</c:v>
                  </c:pt>
                  <c:pt idx="1">
                    <c:v>Stakeholder Engagement and Coordination Mechanisms</c:v>
                  </c:pt>
                  <c:pt idx="2">
                    <c:v>Reporting</c:v>
                  </c:pt>
                  <c:pt idx="3">
                    <c:v>Financing</c:v>
                  </c:pt>
                  <c:pt idx="4">
                    <c:v>Cross-Border Considerations (if applicable) </c:v>
                  </c:pt>
                  <c:pt idx="5">
                    <c:v>EOC</c:v>
                  </c:pt>
                  <c:pt idx="6">
                    <c:v>Planning</c:v>
                  </c:pt>
                  <c:pt idx="7">
                    <c:v>Admin Considerations</c:v>
                  </c:pt>
                  <c:pt idx="8">
                    <c:v>Staffing and Rostering</c:v>
                  </c:pt>
                  <c:pt idx="9">
                    <c:v>Training Program</c:v>
                  </c:pt>
                  <c:pt idx="10">
                    <c:v>Activation and Pre-Deployment</c:v>
                  </c:pt>
                  <c:pt idx="11">
                    <c:v>Deployment</c:v>
                  </c:pt>
                  <c:pt idx="12">
                    <c:v>Post-Deployment</c:v>
                  </c:pt>
                  <c:pt idx="13">
                    <c:v>Monitoring &amp; Evaluation</c:v>
                  </c:pt>
                  <c:pt idx="14">
                    <c:v>Cross-Border Considerations </c:v>
                  </c:pt>
                  <c:pt idx="15">
                    <c:v>Planning</c:v>
                  </c:pt>
                  <c:pt idx="16">
                    <c:v>Admin Considerations</c:v>
                  </c:pt>
                  <c:pt idx="17">
                    <c:v>Staffing and Rostering</c:v>
                  </c:pt>
                  <c:pt idx="18">
                    <c:v>Training Program</c:v>
                  </c:pt>
                  <c:pt idx="19">
                    <c:v>Activation and Pre-Deployment</c:v>
                  </c:pt>
                  <c:pt idx="20">
                    <c:v>Deployment</c:v>
                  </c:pt>
                  <c:pt idx="21">
                    <c:v>Post-Deployment</c:v>
                  </c:pt>
                  <c:pt idx="22">
                    <c:v>Monitoring &amp; Evaluation</c:v>
                  </c:pt>
                </c:lvl>
                <c:lvl>
                  <c:pt idx="0">
                    <c:v>Frameworks &amp; Coordination</c:v>
                  </c:pt>
                  <c:pt idx="5">
                    <c:v>EOC</c:v>
                  </c:pt>
                  <c:pt idx="6">
                    <c:v>EMT</c:v>
                  </c:pt>
                  <c:pt idx="15">
                    <c:v>RRT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Analysis!$K$118:$K$142</c15:sqref>
                  </c15:fullRef>
                </c:ext>
              </c:extLst>
              <c:f>(Analysis!$K$118:$K$122,Analysis!$K$125:$K$142)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5-400A-A333-24892C280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59016912"/>
        <c:axId val="459018160"/>
      </c:barChart>
      <c:catAx>
        <c:axId val="45901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018160"/>
        <c:crosses val="autoZero"/>
        <c:auto val="1"/>
        <c:lblAlgn val="ctr"/>
        <c:lblOffset val="100"/>
        <c:noMultiLvlLbl val="0"/>
      </c:catAx>
      <c:valAx>
        <c:axId val="459018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01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Analysis!$B$79</c:f>
              <c:strCache>
                <c:ptCount val="1"/>
                <c:pt idx="0">
                  <c:v>Capacity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Analysis!$A$80:$A$83</c:f>
              <c:strCache>
                <c:ptCount val="4"/>
                <c:pt idx="0">
                  <c:v>Frameworks &amp; Coordination</c:v>
                </c:pt>
                <c:pt idx="1">
                  <c:v>Rapid Response Teams</c:v>
                </c:pt>
                <c:pt idx="2">
                  <c:v>Emergency Medical Teams</c:v>
                </c:pt>
                <c:pt idx="3">
                  <c:v>Emergency Operations Center/ Incident Management System</c:v>
                </c:pt>
              </c:strCache>
            </c:strRef>
          </c:cat>
          <c:val>
            <c:numRef>
              <c:f>Analysis!$B$80:$B$83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C0-4F0C-B47A-66B3BC440F10}"/>
            </c:ext>
          </c:extLst>
        </c:ser>
        <c:ser>
          <c:idx val="1"/>
          <c:order val="1"/>
          <c:tx>
            <c:strRef>
              <c:f>Analysis!$C$79</c:f>
              <c:strCache>
                <c:ptCount val="1"/>
                <c:pt idx="0">
                  <c:v>Operational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Analysis!$A$80:$A$83</c:f>
              <c:strCache>
                <c:ptCount val="4"/>
                <c:pt idx="0">
                  <c:v>Frameworks &amp; Coordination</c:v>
                </c:pt>
                <c:pt idx="1">
                  <c:v>Rapid Response Teams</c:v>
                </c:pt>
                <c:pt idx="2">
                  <c:v>Emergency Medical Teams</c:v>
                </c:pt>
                <c:pt idx="3">
                  <c:v>Emergency Operations Center/ Incident Management System</c:v>
                </c:pt>
              </c:strCache>
            </c:strRef>
          </c:cat>
          <c:val>
            <c:numRef>
              <c:f>Analysis!$C$80:$C$83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C0-4F0C-B47A-66B3BC440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228240"/>
        <c:axId val="2045224912"/>
      </c:radarChart>
      <c:catAx>
        <c:axId val="2045228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224912"/>
        <c:crosses val="autoZero"/>
        <c:auto val="1"/>
        <c:lblAlgn val="ctr"/>
        <c:lblOffset val="100"/>
        <c:noMultiLvlLbl val="0"/>
      </c:catAx>
      <c:valAx>
        <c:axId val="204522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22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0</xdr:row>
      <xdr:rowOff>0</xdr:rowOff>
    </xdr:from>
    <xdr:to>
      <xdr:col>3</xdr:col>
      <xdr:colOff>2228850</xdr:colOff>
      <xdr:row>1</xdr:row>
      <xdr:rowOff>17780</xdr:rowOff>
    </xdr:to>
    <xdr:pic>
      <xdr:nvPicPr>
        <xdr:cNvPr id="2" name="Picture 1" descr="Logo, company name&#10;&#10;Description automatically generated">
          <a:extLst>
            <a:ext uri="{FF2B5EF4-FFF2-40B4-BE49-F238E27FC236}">
              <a16:creationId xmlns:a16="http://schemas.microsoft.com/office/drawing/2014/main" id="{D732609D-3E7A-4C98-111D-49320FA6B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0" y="0"/>
          <a:ext cx="1590675" cy="894080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2476500</xdr:colOff>
      <xdr:row>0</xdr:row>
      <xdr:rowOff>116205</xdr:rowOff>
    </xdr:from>
    <xdr:to>
      <xdr:col>6</xdr:col>
      <xdr:colOff>319405</xdr:colOff>
      <xdr:row>0</xdr:row>
      <xdr:rowOff>759460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CC3060-73F0-9905-A3E3-2EADB63A1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825" y="116205"/>
          <a:ext cx="2186305" cy="643255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0</xdr:row>
      <xdr:rowOff>73025</xdr:rowOff>
    </xdr:from>
    <xdr:to>
      <xdr:col>7</xdr:col>
      <xdr:colOff>809625</xdr:colOff>
      <xdr:row>0</xdr:row>
      <xdr:rowOff>761365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8249DA4-E8DA-AA86-114D-75803AA36775}"/>
            </a:ext>
            <a:ext uri="{147F2762-F138-4A5C-976F-8EAC2B608ADB}">
              <a16:predDERef xmlns:a16="http://schemas.microsoft.com/office/drawing/2014/main" pred="{EACC3060-73F0-9905-A3E3-2EADB63A1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73025"/>
          <a:ext cx="1609725" cy="688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965835</xdr:colOff>
      <xdr:row>0</xdr:row>
      <xdr:rowOff>140970</xdr:rowOff>
    </xdr:from>
    <xdr:to>
      <xdr:col>8</xdr:col>
      <xdr:colOff>832485</xdr:colOff>
      <xdr:row>0</xdr:row>
      <xdr:rowOff>680720</xdr:rowOff>
    </xdr:to>
    <xdr:pic>
      <xdr:nvPicPr>
        <xdr:cNvPr id="5" name="Picture 4" descr="A logo with green and blue letters&#10;&#10;Description automatically generated">
          <a:extLst>
            <a:ext uri="{FF2B5EF4-FFF2-40B4-BE49-F238E27FC236}">
              <a16:creationId xmlns:a16="http://schemas.microsoft.com/office/drawing/2014/main" id="{185F1D3D-2456-BC37-08E7-E3AAE9F5B545}"/>
            </a:ext>
            <a:ext uri="{147F2762-F138-4A5C-976F-8EAC2B608ADB}">
              <a16:predDERef xmlns:a16="http://schemas.microsoft.com/office/drawing/2014/main" pred="{F8249DA4-E8DA-AA86-114D-75803AA367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6477"/>
        <a:stretch/>
      </xdr:blipFill>
      <xdr:spPr bwMode="auto">
        <a:xfrm>
          <a:off x="9014460" y="140970"/>
          <a:ext cx="942975" cy="539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9523</xdr:colOff>
      <xdr:row>29</xdr:row>
      <xdr:rowOff>4761</xdr:rowOff>
    </xdr:from>
    <xdr:to>
      <xdr:col>10</xdr:col>
      <xdr:colOff>428625</xdr:colOff>
      <xdr:row>57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A7B07C6-1A3F-41F5-9751-11494E7E0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40823</xdr:colOff>
      <xdr:row>0</xdr:row>
      <xdr:rowOff>98045</xdr:rowOff>
    </xdr:from>
    <xdr:to>
      <xdr:col>5</xdr:col>
      <xdr:colOff>1774373</xdr:colOff>
      <xdr:row>28</xdr:row>
      <xdr:rowOff>43543</xdr:rowOff>
    </xdr:to>
    <xdr:graphicFrame macro="">
      <xdr:nvGraphicFramePr>
        <xdr:cNvPr id="5" name="Chart 6">
          <a:extLst>
            <a:ext uri="{FF2B5EF4-FFF2-40B4-BE49-F238E27FC236}">
              <a16:creationId xmlns:a16="http://schemas.microsoft.com/office/drawing/2014/main" id="{E5DBE09C-F60D-4460-9B72-FB37F3280513}"/>
            </a:ext>
            <a:ext uri="{147F2762-F138-4A5C-976F-8EAC2B608ADB}">
              <a16:predDERef xmlns:a16="http://schemas.microsoft.com/office/drawing/2014/main" pred="{5A7B07C6-1A3F-41F5-9751-11494E7E0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3B92B7-9ADD-428B-8905-5F6A6E987878}" name="Table1" displayName="Table1" ref="A2:L90" totalsRowShown="0" headerRowDxfId="14" dataDxfId="13" headerRowBorderDxfId="12">
  <autoFilter ref="A2:L90" xr:uid="{4E3B92B7-9ADD-428B-8905-5F6A6E98787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sortState xmlns:xlrd2="http://schemas.microsoft.com/office/spreadsheetml/2017/richdata2" ref="A3:L90">
    <sortCondition ref="H2:H90"/>
  </sortState>
  <tableColumns count="12">
    <tableColumn id="3" xr3:uid="{2E187740-67DE-48E3-A2D9-0272A2C499E1}" name="# " dataDxfId="11"/>
    <tableColumn id="1" xr3:uid="{EF654084-14AC-4F5F-80DE-9E17D36DF024}" name="Section" dataDxfId="10"/>
    <tableColumn id="2" xr3:uid="{7EC4BDE6-FEC3-4440-8C81-8FA82A15F330}" name="SubSection" dataDxfId="9"/>
    <tableColumn id="4" xr3:uid="{FFF39D36-62CE-4F06-88FA-197EAC35116E}" name="Indicator " dataDxfId="8"/>
    <tableColumn id="21" xr3:uid="{589FB030-DBB7-4776-9231-F4708AA29C4A}" name="Exists" dataDxfId="7"/>
    <tableColumn id="22" xr3:uid="{A0BB7398-8677-47E8-AFF4-554632524320}" name="Date Completed/ Last Updated" dataDxfId="6"/>
    <tableColumn id="7" xr3:uid="{C6DFD614-79F6-49B0-9F02-7934480485DB}" name="Capacity " dataDxfId="5"/>
    <tableColumn id="8" xr3:uid="{BD7017D0-A49A-4FDF-81FF-CBD365DE8FAA}" name="Operational Status " dataDxfId="4"/>
    <tableColumn id="9" xr3:uid="{6A2E0812-3639-4415-A963-135F0D2F2D76}" name="Priority " dataDxfId="3"/>
    <tableColumn id="10" xr3:uid="{CF1E82C8-4B1F-4D3D-B7D4-4E01A546FC6E}" name="Lead Agency " dataDxfId="2"/>
    <tableColumn id="11" xr3:uid="{43EA4592-A4E7-4E59-8B0A-BF7A6A990862}" name="In-Country POC " dataDxfId="1"/>
    <tableColumn id="12" xr3:uid="{5F37BDAD-1CDD-470C-9A38-4A3B9FB28EAB}" name="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3E737-142F-4311-BA7A-2D8BC0B97DF5}">
  <dimension ref="A1:D6"/>
  <sheetViews>
    <sheetView workbookViewId="0">
      <selection activeCell="B2" sqref="B2:B4"/>
    </sheetView>
  </sheetViews>
  <sheetFormatPr defaultRowHeight="14.45"/>
  <cols>
    <col min="1" max="1" width="6" bestFit="1" customWidth="1"/>
    <col min="2" max="2" width="21" bestFit="1" customWidth="1"/>
    <col min="3" max="3" width="27.7109375" bestFit="1" customWidth="1"/>
    <col min="4" max="4" width="20.7109375" bestFit="1" customWidth="1"/>
  </cols>
  <sheetData>
    <row r="1" spans="1:4">
      <c r="A1" s="9" t="s">
        <v>0</v>
      </c>
      <c r="B1" s="9" t="s">
        <v>1</v>
      </c>
      <c r="C1" s="9" t="s">
        <v>2</v>
      </c>
      <c r="D1" s="9" t="s">
        <v>3</v>
      </c>
    </row>
    <row r="2" spans="1:4">
      <c r="A2" t="s">
        <v>4</v>
      </c>
      <c r="B2" t="s">
        <v>5</v>
      </c>
      <c r="C2" t="s">
        <v>6</v>
      </c>
      <c r="D2" t="s">
        <v>7</v>
      </c>
    </row>
    <row r="3" spans="1:4">
      <c r="A3" t="s">
        <v>8</v>
      </c>
      <c r="B3" t="s">
        <v>9</v>
      </c>
      <c r="C3" t="s">
        <v>10</v>
      </c>
      <c r="D3" t="s">
        <v>11</v>
      </c>
    </row>
    <row r="4" spans="1:4">
      <c r="B4" t="s">
        <v>12</v>
      </c>
      <c r="C4" t="s">
        <v>13</v>
      </c>
      <c r="D4" t="s">
        <v>14</v>
      </c>
    </row>
    <row r="5" spans="1:4">
      <c r="B5" t="s">
        <v>15</v>
      </c>
      <c r="C5" t="s">
        <v>15</v>
      </c>
      <c r="D5" t="s">
        <v>16</v>
      </c>
    </row>
    <row r="6" spans="1:4">
      <c r="B6" t="s">
        <v>17</v>
      </c>
      <c r="C6" t="s">
        <v>17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F00F9-C02E-4E8D-B11C-396B9E778D1E}">
  <sheetPr>
    <pageSetUpPr fitToPage="1"/>
  </sheetPr>
  <dimension ref="A1:L107"/>
  <sheetViews>
    <sheetView tabSelected="1" topLeftCell="A69" zoomScaleNormal="100" workbookViewId="0">
      <selection activeCell="G7" sqref="G7"/>
    </sheetView>
  </sheetViews>
  <sheetFormatPr defaultColWidth="9.140625" defaultRowHeight="12.75"/>
  <cols>
    <col min="1" max="1" width="4.7109375" style="2" bestFit="1" customWidth="1"/>
    <col min="2" max="2" width="9.140625" style="1" bestFit="1" customWidth="1"/>
    <col min="3" max="3" width="25.28515625" style="8" bestFit="1" customWidth="1"/>
    <col min="4" max="4" width="41.140625" style="44" customWidth="1"/>
    <col min="5" max="6" width="12" style="1" customWidth="1"/>
    <col min="7" max="7" width="16.42578125" style="1" customWidth="1"/>
    <col min="8" max="8" width="16.140625" style="1" customWidth="1"/>
    <col min="9" max="9" width="18.140625" style="1" customWidth="1"/>
    <col min="10" max="10" width="15.7109375" style="1" customWidth="1"/>
    <col min="11" max="11" width="15.28515625" style="1" customWidth="1"/>
    <col min="12" max="12" width="12.7109375" style="1" bestFit="1" customWidth="1"/>
    <col min="13" max="13" width="10.140625" style="1" customWidth="1"/>
    <col min="14" max="16384" width="9.140625" style="1"/>
  </cols>
  <sheetData>
    <row r="1" spans="1:12" ht="69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40.5">
      <c r="A2" s="45" t="s">
        <v>18</v>
      </c>
      <c r="B2" s="46" t="s">
        <v>19</v>
      </c>
      <c r="C2" s="46" t="s">
        <v>20</v>
      </c>
      <c r="D2" s="46" t="s">
        <v>21</v>
      </c>
      <c r="E2" s="46" t="s">
        <v>0</v>
      </c>
      <c r="F2" s="46" t="s">
        <v>22</v>
      </c>
      <c r="G2" s="46" t="s">
        <v>23</v>
      </c>
      <c r="H2" s="46" t="s">
        <v>24</v>
      </c>
      <c r="I2" s="46" t="s">
        <v>25</v>
      </c>
      <c r="J2" s="46" t="s">
        <v>26</v>
      </c>
      <c r="K2" s="46" t="s">
        <v>27</v>
      </c>
      <c r="L2" s="46" t="s">
        <v>28</v>
      </c>
    </row>
    <row r="3" spans="1:12" s="50" customFormat="1" ht="40.5">
      <c r="A3" s="63">
        <v>1</v>
      </c>
      <c r="B3" s="64" t="s">
        <v>29</v>
      </c>
      <c r="C3" s="65" t="s">
        <v>30</v>
      </c>
      <c r="D3" s="66" t="s">
        <v>31</v>
      </c>
      <c r="E3" s="48"/>
      <c r="F3" s="49"/>
      <c r="G3" s="48"/>
      <c r="H3" s="48"/>
      <c r="I3" s="48"/>
      <c r="J3" s="48"/>
      <c r="K3" s="47"/>
      <c r="L3" s="47"/>
    </row>
    <row r="4" spans="1:12" s="50" customFormat="1" ht="27">
      <c r="A4" s="63">
        <v>2</v>
      </c>
      <c r="B4" s="64" t="s">
        <v>29</v>
      </c>
      <c r="C4" s="65" t="s">
        <v>30</v>
      </c>
      <c r="D4" s="66" t="s">
        <v>32</v>
      </c>
      <c r="E4" s="48"/>
      <c r="F4" s="49"/>
      <c r="G4" s="48"/>
      <c r="H4" s="48"/>
      <c r="I4" s="48"/>
      <c r="J4" s="48"/>
      <c r="K4" s="47"/>
      <c r="L4" s="47"/>
    </row>
    <row r="5" spans="1:12" s="50" customFormat="1" ht="27">
      <c r="A5" s="63">
        <v>3</v>
      </c>
      <c r="B5" s="64" t="s">
        <v>29</v>
      </c>
      <c r="C5" s="65" t="s">
        <v>30</v>
      </c>
      <c r="D5" s="66" t="s">
        <v>33</v>
      </c>
      <c r="E5" s="48"/>
      <c r="F5" s="49"/>
      <c r="G5" s="48"/>
      <c r="H5" s="48"/>
      <c r="I5" s="48"/>
      <c r="J5" s="48"/>
      <c r="K5" s="47"/>
      <c r="L5" s="47"/>
    </row>
    <row r="6" spans="1:12" s="50" customFormat="1" ht="27">
      <c r="A6" s="63">
        <v>4</v>
      </c>
      <c r="B6" s="64" t="s">
        <v>29</v>
      </c>
      <c r="C6" s="65" t="s">
        <v>30</v>
      </c>
      <c r="D6" s="66" t="s">
        <v>34</v>
      </c>
      <c r="E6" s="48"/>
      <c r="F6" s="49"/>
      <c r="G6" s="48"/>
      <c r="H6" s="48"/>
      <c r="I6" s="48"/>
      <c r="J6" s="48"/>
      <c r="K6" s="48"/>
      <c r="L6" s="47"/>
    </row>
    <row r="7" spans="1:12" s="50" customFormat="1" ht="27">
      <c r="A7" s="63">
        <v>5</v>
      </c>
      <c r="B7" s="64" t="s">
        <v>29</v>
      </c>
      <c r="C7" s="65" t="s">
        <v>30</v>
      </c>
      <c r="D7" s="66" t="s">
        <v>35</v>
      </c>
      <c r="E7" s="48"/>
      <c r="F7" s="49"/>
      <c r="G7" s="48"/>
      <c r="H7" s="48"/>
      <c r="I7" s="48"/>
      <c r="J7" s="48"/>
      <c r="K7" s="47"/>
      <c r="L7" s="47"/>
    </row>
    <row r="8" spans="1:12" s="50" customFormat="1" ht="27">
      <c r="A8" s="63">
        <v>6</v>
      </c>
      <c r="B8" s="64" t="s">
        <v>29</v>
      </c>
      <c r="C8" s="65" t="s">
        <v>30</v>
      </c>
      <c r="D8" s="66" t="s">
        <v>36</v>
      </c>
      <c r="E8" s="48"/>
      <c r="F8" s="49"/>
      <c r="G8" s="48"/>
      <c r="H8" s="48"/>
      <c r="I8" s="48"/>
      <c r="J8" s="48"/>
      <c r="K8" s="47"/>
      <c r="L8" s="47"/>
    </row>
    <row r="9" spans="1:12" s="50" customFormat="1" ht="27">
      <c r="A9" s="63">
        <v>7</v>
      </c>
      <c r="B9" s="64" t="s">
        <v>29</v>
      </c>
      <c r="C9" s="65" t="s">
        <v>30</v>
      </c>
      <c r="D9" s="66" t="s">
        <v>37</v>
      </c>
      <c r="E9" s="48"/>
      <c r="F9" s="49"/>
      <c r="G9" s="48"/>
      <c r="H9" s="48"/>
      <c r="I9" s="48"/>
      <c r="J9" s="48"/>
      <c r="K9" s="47"/>
      <c r="L9" s="47"/>
    </row>
    <row r="10" spans="1:12" s="50" customFormat="1" ht="27">
      <c r="A10" s="63">
        <v>8</v>
      </c>
      <c r="B10" s="64" t="s">
        <v>29</v>
      </c>
      <c r="C10" s="65" t="s">
        <v>30</v>
      </c>
      <c r="D10" s="66" t="s">
        <v>38</v>
      </c>
      <c r="E10" s="48"/>
      <c r="F10" s="49"/>
      <c r="G10" s="48"/>
      <c r="H10" s="48"/>
      <c r="I10" s="48"/>
      <c r="J10" s="48"/>
      <c r="K10" s="48"/>
      <c r="L10" s="47"/>
    </row>
    <row r="11" spans="1:12" s="50" customFormat="1" ht="27">
      <c r="A11" s="63">
        <v>9</v>
      </c>
      <c r="B11" s="64" t="s">
        <v>29</v>
      </c>
      <c r="C11" s="65" t="s">
        <v>39</v>
      </c>
      <c r="D11" s="66" t="s">
        <v>40</v>
      </c>
      <c r="E11" s="48"/>
      <c r="F11" s="48"/>
      <c r="G11" s="48"/>
      <c r="H11" s="48"/>
      <c r="I11" s="48"/>
      <c r="J11" s="48"/>
      <c r="K11" s="47"/>
      <c r="L11" s="47"/>
    </row>
    <row r="12" spans="1:12" s="50" customFormat="1" ht="53.25">
      <c r="A12" s="63">
        <v>10</v>
      </c>
      <c r="B12" s="64" t="s">
        <v>29</v>
      </c>
      <c r="C12" s="65" t="s">
        <v>39</v>
      </c>
      <c r="D12" s="66" t="s">
        <v>41</v>
      </c>
      <c r="E12" s="48"/>
      <c r="F12" s="49"/>
      <c r="G12" s="48"/>
      <c r="H12" s="48"/>
      <c r="I12" s="48"/>
      <c r="J12" s="48"/>
      <c r="K12" s="48"/>
      <c r="L12" s="47"/>
    </row>
    <row r="13" spans="1:12" s="50" customFormat="1" ht="27">
      <c r="A13" s="63">
        <v>11</v>
      </c>
      <c r="B13" s="64" t="s">
        <v>29</v>
      </c>
      <c r="C13" s="65" t="s">
        <v>39</v>
      </c>
      <c r="D13" s="66" t="s">
        <v>42</v>
      </c>
      <c r="E13" s="48"/>
      <c r="F13" s="49"/>
      <c r="G13" s="48"/>
      <c r="H13" s="48"/>
      <c r="I13" s="48"/>
      <c r="J13" s="48"/>
      <c r="K13" s="48"/>
      <c r="L13" s="47"/>
    </row>
    <row r="14" spans="1:12" s="50" customFormat="1" ht="53.25">
      <c r="A14" s="63">
        <v>12</v>
      </c>
      <c r="B14" s="64" t="s">
        <v>29</v>
      </c>
      <c r="C14" s="65" t="s">
        <v>39</v>
      </c>
      <c r="D14" s="66" t="s">
        <v>43</v>
      </c>
      <c r="E14" s="48"/>
      <c r="F14" s="49"/>
      <c r="G14" s="48"/>
      <c r="H14" s="48"/>
      <c r="I14" s="48"/>
      <c r="J14" s="48"/>
      <c r="K14" s="47"/>
      <c r="L14" s="47"/>
    </row>
    <row r="15" spans="1:12" s="50" customFormat="1" ht="40.5">
      <c r="A15" s="63">
        <v>13</v>
      </c>
      <c r="B15" s="64" t="s">
        <v>29</v>
      </c>
      <c r="C15" s="65" t="s">
        <v>39</v>
      </c>
      <c r="D15" s="66" t="s">
        <v>44</v>
      </c>
      <c r="E15" s="48"/>
      <c r="F15" s="49"/>
      <c r="G15" s="48"/>
      <c r="H15" s="48"/>
      <c r="I15" s="48"/>
      <c r="J15" s="48"/>
      <c r="K15" s="48"/>
      <c r="L15" s="47"/>
    </row>
    <row r="16" spans="1:12" s="50" customFormat="1" ht="67.5">
      <c r="A16" s="63">
        <v>14</v>
      </c>
      <c r="B16" s="64" t="s">
        <v>29</v>
      </c>
      <c r="C16" s="65" t="s">
        <v>39</v>
      </c>
      <c r="D16" s="66" t="s">
        <v>45</v>
      </c>
      <c r="E16" s="48"/>
      <c r="F16" s="49"/>
      <c r="G16" s="48"/>
      <c r="H16" s="48"/>
      <c r="I16" s="48"/>
      <c r="J16" s="48"/>
      <c r="K16" s="48"/>
      <c r="L16" s="47"/>
    </row>
    <row r="17" spans="1:12" s="50" customFormat="1" ht="40.5">
      <c r="A17" s="63">
        <v>15</v>
      </c>
      <c r="B17" s="64" t="s">
        <v>29</v>
      </c>
      <c r="C17" s="65" t="s">
        <v>39</v>
      </c>
      <c r="D17" s="66" t="s">
        <v>46</v>
      </c>
      <c r="E17" s="48"/>
      <c r="F17" s="49"/>
      <c r="G17" s="48"/>
      <c r="H17" s="48"/>
      <c r="I17" s="48"/>
      <c r="J17" s="48"/>
      <c r="K17" s="47"/>
      <c r="L17" s="47"/>
    </row>
    <row r="18" spans="1:12" s="50" customFormat="1" ht="27">
      <c r="A18" s="63">
        <v>16</v>
      </c>
      <c r="B18" s="64" t="s">
        <v>29</v>
      </c>
      <c r="C18" s="65" t="s">
        <v>47</v>
      </c>
      <c r="D18" s="66" t="s">
        <v>48</v>
      </c>
      <c r="E18" s="48"/>
      <c r="F18" s="49"/>
      <c r="G18" s="48"/>
      <c r="H18" s="48"/>
      <c r="I18" s="48"/>
      <c r="J18" s="48"/>
      <c r="K18" s="47"/>
      <c r="L18" s="47"/>
    </row>
    <row r="19" spans="1:12" s="50" customFormat="1" ht="40.5">
      <c r="A19" s="63">
        <v>17</v>
      </c>
      <c r="B19" s="64" t="s">
        <v>29</v>
      </c>
      <c r="C19" s="65" t="s">
        <v>47</v>
      </c>
      <c r="D19" s="66" t="s">
        <v>49</v>
      </c>
      <c r="E19" s="48"/>
      <c r="F19" s="49"/>
      <c r="G19" s="48"/>
      <c r="H19" s="48"/>
      <c r="I19" s="48"/>
      <c r="J19" s="48"/>
      <c r="K19" s="47"/>
      <c r="L19" s="47"/>
    </row>
    <row r="20" spans="1:12" s="50" customFormat="1" ht="27">
      <c r="A20" s="63">
        <v>18</v>
      </c>
      <c r="B20" s="64" t="s">
        <v>29</v>
      </c>
      <c r="C20" s="65" t="s">
        <v>47</v>
      </c>
      <c r="D20" s="66" t="s">
        <v>50</v>
      </c>
      <c r="E20" s="48"/>
      <c r="F20" s="49"/>
      <c r="G20" s="48"/>
      <c r="H20" s="48"/>
      <c r="I20" s="48"/>
      <c r="J20" s="48"/>
      <c r="K20" s="48"/>
      <c r="L20" s="47"/>
    </row>
    <row r="21" spans="1:12" s="50" customFormat="1" ht="27">
      <c r="A21" s="63">
        <v>19</v>
      </c>
      <c r="B21" s="64" t="s">
        <v>29</v>
      </c>
      <c r="C21" s="65" t="s">
        <v>47</v>
      </c>
      <c r="D21" s="66" t="s">
        <v>51</v>
      </c>
      <c r="E21" s="48"/>
      <c r="F21" s="49"/>
      <c r="G21" s="48"/>
      <c r="H21" s="48"/>
      <c r="I21" s="48"/>
      <c r="J21" s="48"/>
      <c r="K21" s="48"/>
      <c r="L21" s="47"/>
    </row>
    <row r="22" spans="1:12" s="50" customFormat="1" ht="67.5">
      <c r="A22" s="63">
        <v>20</v>
      </c>
      <c r="B22" s="64" t="s">
        <v>29</v>
      </c>
      <c r="C22" s="65" t="s">
        <v>47</v>
      </c>
      <c r="D22" s="66" t="s">
        <v>52</v>
      </c>
      <c r="E22" s="48"/>
      <c r="F22" s="49"/>
      <c r="G22" s="48"/>
      <c r="H22" s="48"/>
      <c r="I22" s="48"/>
      <c r="J22" s="48"/>
      <c r="K22" s="48"/>
      <c r="L22" s="47"/>
    </row>
    <row r="23" spans="1:12" s="50" customFormat="1" ht="27">
      <c r="A23" s="63">
        <v>21</v>
      </c>
      <c r="B23" s="64" t="s">
        <v>29</v>
      </c>
      <c r="C23" s="65" t="s">
        <v>53</v>
      </c>
      <c r="D23" s="66" t="s">
        <v>54</v>
      </c>
      <c r="E23" s="48"/>
      <c r="F23" s="49"/>
      <c r="G23" s="48"/>
      <c r="H23" s="48"/>
      <c r="I23" s="48"/>
      <c r="J23" s="48"/>
      <c r="K23" s="48"/>
      <c r="L23" s="47"/>
    </row>
    <row r="24" spans="1:12" s="50" customFormat="1" ht="40.5">
      <c r="A24" s="63">
        <v>22</v>
      </c>
      <c r="B24" s="64" t="s">
        <v>29</v>
      </c>
      <c r="C24" s="65" t="s">
        <v>53</v>
      </c>
      <c r="D24" s="66" t="s">
        <v>55</v>
      </c>
      <c r="E24" s="48"/>
      <c r="F24" s="49"/>
      <c r="G24" s="48"/>
      <c r="H24" s="48"/>
      <c r="I24" s="48"/>
      <c r="J24" s="48"/>
      <c r="K24" s="48"/>
      <c r="L24" s="47"/>
    </row>
    <row r="25" spans="1:12" s="50" customFormat="1" ht="53.25">
      <c r="A25" s="63">
        <v>23</v>
      </c>
      <c r="B25" s="64" t="s">
        <v>29</v>
      </c>
      <c r="C25" s="65" t="s">
        <v>53</v>
      </c>
      <c r="D25" s="66" t="s">
        <v>56</v>
      </c>
      <c r="E25" s="48"/>
      <c r="F25" s="49"/>
      <c r="G25" s="48"/>
      <c r="H25" s="48"/>
      <c r="I25" s="48"/>
      <c r="J25" s="48"/>
      <c r="K25" s="48"/>
      <c r="L25" s="47"/>
    </row>
    <row r="26" spans="1:12" s="50" customFormat="1" ht="27">
      <c r="A26" s="63">
        <v>24</v>
      </c>
      <c r="B26" s="64" t="s">
        <v>29</v>
      </c>
      <c r="C26" s="65" t="s">
        <v>53</v>
      </c>
      <c r="D26" s="66" t="s">
        <v>57</v>
      </c>
      <c r="E26" s="48"/>
      <c r="F26" s="49"/>
      <c r="G26" s="48"/>
      <c r="H26" s="48"/>
      <c r="I26" s="48"/>
      <c r="J26" s="48"/>
      <c r="K26" s="48"/>
      <c r="L26" s="47"/>
    </row>
    <row r="27" spans="1:12" s="50" customFormat="1" ht="40.5">
      <c r="A27" s="63">
        <v>25</v>
      </c>
      <c r="B27" s="64" t="s">
        <v>29</v>
      </c>
      <c r="C27" s="65" t="s">
        <v>58</v>
      </c>
      <c r="D27" s="66" t="s">
        <v>59</v>
      </c>
      <c r="E27" s="48"/>
      <c r="F27" s="49"/>
      <c r="G27" s="48"/>
      <c r="H27" s="48"/>
      <c r="I27" s="48"/>
      <c r="J27" s="48"/>
      <c r="K27" s="48"/>
      <c r="L27" s="47"/>
    </row>
    <row r="28" spans="1:12" s="50" customFormat="1" ht="27">
      <c r="A28" s="63">
        <v>26</v>
      </c>
      <c r="B28" s="64" t="s">
        <v>29</v>
      </c>
      <c r="C28" s="65" t="s">
        <v>58</v>
      </c>
      <c r="D28" s="66" t="s">
        <v>60</v>
      </c>
      <c r="E28" s="48"/>
      <c r="F28" s="49"/>
      <c r="G28" s="48"/>
      <c r="H28" s="48"/>
      <c r="I28" s="48"/>
      <c r="J28" s="48"/>
      <c r="K28" s="48"/>
      <c r="L28" s="47"/>
    </row>
    <row r="29" spans="1:12" s="50" customFormat="1" ht="13.5">
      <c r="A29" s="63">
        <v>27</v>
      </c>
      <c r="B29" s="64" t="s">
        <v>29</v>
      </c>
      <c r="C29" s="65" t="s">
        <v>58</v>
      </c>
      <c r="D29" s="66" t="s">
        <v>61</v>
      </c>
      <c r="E29" s="48"/>
      <c r="F29" s="49"/>
      <c r="G29" s="48"/>
      <c r="H29" s="48"/>
      <c r="I29" s="48"/>
      <c r="J29" s="48"/>
      <c r="K29" s="48"/>
      <c r="L29" s="47"/>
    </row>
    <row r="30" spans="1:12" s="50" customFormat="1" ht="27">
      <c r="A30" s="63">
        <v>28</v>
      </c>
      <c r="B30" s="64" t="s">
        <v>29</v>
      </c>
      <c r="C30" s="65" t="s">
        <v>58</v>
      </c>
      <c r="D30" s="66" t="s">
        <v>62</v>
      </c>
      <c r="E30" s="48"/>
      <c r="F30" s="49"/>
      <c r="G30" s="48"/>
      <c r="H30" s="48"/>
      <c r="I30" s="48"/>
      <c r="J30" s="48"/>
      <c r="K30" s="48"/>
      <c r="L30" s="47"/>
    </row>
    <row r="31" spans="1:12" s="50" customFormat="1" ht="27">
      <c r="A31" s="63">
        <v>29</v>
      </c>
      <c r="B31" s="64" t="s">
        <v>29</v>
      </c>
      <c r="C31" s="65" t="s">
        <v>63</v>
      </c>
      <c r="D31" s="66" t="s">
        <v>64</v>
      </c>
      <c r="E31" s="48"/>
      <c r="F31" s="49"/>
      <c r="G31" s="48"/>
      <c r="H31" s="48"/>
      <c r="I31" s="48"/>
      <c r="J31" s="48"/>
      <c r="K31" s="48"/>
      <c r="L31" s="47"/>
    </row>
    <row r="32" spans="1:12" s="50" customFormat="1" ht="40.5">
      <c r="A32" s="63">
        <v>30</v>
      </c>
      <c r="B32" s="64" t="s">
        <v>29</v>
      </c>
      <c r="C32" s="65" t="s">
        <v>63</v>
      </c>
      <c r="D32" s="66" t="s">
        <v>65</v>
      </c>
      <c r="E32" s="48"/>
      <c r="F32" s="49"/>
      <c r="G32" s="48"/>
      <c r="H32" s="48"/>
      <c r="I32" s="48"/>
      <c r="J32" s="48"/>
      <c r="K32" s="48"/>
      <c r="L32" s="47"/>
    </row>
    <row r="33" spans="1:12" s="50" customFormat="1" ht="27">
      <c r="A33" s="63">
        <v>31</v>
      </c>
      <c r="B33" s="64" t="s">
        <v>29</v>
      </c>
      <c r="C33" s="65" t="s">
        <v>63</v>
      </c>
      <c r="D33" s="66" t="s">
        <v>66</v>
      </c>
      <c r="E33" s="48"/>
      <c r="F33" s="49"/>
      <c r="G33" s="48"/>
      <c r="H33" s="48"/>
      <c r="I33" s="48"/>
      <c r="J33" s="48"/>
      <c r="K33" s="48"/>
      <c r="L33" s="47"/>
    </row>
    <row r="34" spans="1:12" s="50" customFormat="1" ht="40.5">
      <c r="A34" s="63">
        <v>32</v>
      </c>
      <c r="B34" s="64" t="s">
        <v>29</v>
      </c>
      <c r="C34" s="65" t="s">
        <v>63</v>
      </c>
      <c r="D34" s="66" t="s">
        <v>67</v>
      </c>
      <c r="E34" s="48"/>
      <c r="F34" s="49"/>
      <c r="G34" s="48"/>
      <c r="H34" s="48"/>
      <c r="I34" s="48"/>
      <c r="J34" s="48"/>
      <c r="K34" s="48"/>
      <c r="L34" s="47"/>
    </row>
    <row r="35" spans="1:12" s="50" customFormat="1" ht="27">
      <c r="A35" s="63">
        <v>33</v>
      </c>
      <c r="B35" s="64" t="s">
        <v>29</v>
      </c>
      <c r="C35" s="65" t="s">
        <v>63</v>
      </c>
      <c r="D35" s="66" t="s">
        <v>68</v>
      </c>
      <c r="E35" s="48"/>
      <c r="F35" s="49"/>
      <c r="G35" s="48"/>
      <c r="H35" s="48"/>
      <c r="I35" s="48"/>
      <c r="J35" s="48"/>
      <c r="K35" s="48"/>
      <c r="L35" s="47"/>
    </row>
    <row r="36" spans="1:12" s="50" customFormat="1" ht="27">
      <c r="A36" s="63">
        <v>34</v>
      </c>
      <c r="B36" s="64" t="s">
        <v>29</v>
      </c>
      <c r="C36" s="65" t="s">
        <v>63</v>
      </c>
      <c r="D36" s="66" t="s">
        <v>69</v>
      </c>
      <c r="E36" s="48"/>
      <c r="F36" s="49"/>
      <c r="G36" s="48"/>
      <c r="H36" s="48"/>
      <c r="I36" s="48"/>
      <c r="J36" s="48"/>
      <c r="K36" s="48"/>
      <c r="L36" s="47"/>
    </row>
    <row r="37" spans="1:12" s="50" customFormat="1" ht="27">
      <c r="A37" s="63">
        <v>35</v>
      </c>
      <c r="B37" s="64" t="s">
        <v>29</v>
      </c>
      <c r="C37" s="65" t="s">
        <v>70</v>
      </c>
      <c r="D37" s="66" t="s">
        <v>71</v>
      </c>
      <c r="E37" s="48"/>
      <c r="F37" s="49"/>
      <c r="G37" s="48"/>
      <c r="H37" s="48"/>
      <c r="I37" s="48"/>
      <c r="J37" s="48"/>
      <c r="K37" s="48"/>
      <c r="L37" s="47"/>
    </row>
    <row r="38" spans="1:12" s="50" customFormat="1" ht="27">
      <c r="A38" s="63">
        <v>36</v>
      </c>
      <c r="B38" s="64" t="s">
        <v>29</v>
      </c>
      <c r="C38" s="65" t="s">
        <v>70</v>
      </c>
      <c r="D38" s="66" t="s">
        <v>72</v>
      </c>
      <c r="E38" s="48"/>
      <c r="F38" s="49"/>
      <c r="G38" s="48"/>
      <c r="H38" s="48"/>
      <c r="I38" s="48"/>
      <c r="J38" s="48"/>
      <c r="K38" s="48"/>
      <c r="L38" s="47"/>
    </row>
    <row r="39" spans="1:12" s="50" customFormat="1" ht="27">
      <c r="A39" s="63">
        <v>37</v>
      </c>
      <c r="B39" s="64" t="s">
        <v>29</v>
      </c>
      <c r="C39" s="65" t="s">
        <v>70</v>
      </c>
      <c r="D39" s="66" t="s">
        <v>73</v>
      </c>
      <c r="E39" s="48"/>
      <c r="F39" s="49"/>
      <c r="G39" s="48"/>
      <c r="H39" s="48"/>
      <c r="I39" s="48"/>
      <c r="J39" s="48"/>
      <c r="K39" s="48"/>
      <c r="L39" s="47"/>
    </row>
    <row r="40" spans="1:12" s="50" customFormat="1" ht="53.25">
      <c r="A40" s="63">
        <v>38</v>
      </c>
      <c r="B40" s="64" t="s">
        <v>29</v>
      </c>
      <c r="C40" s="65" t="s">
        <v>74</v>
      </c>
      <c r="D40" s="66" t="s">
        <v>75</v>
      </c>
      <c r="E40" s="48"/>
      <c r="F40" s="49"/>
      <c r="G40" s="48"/>
      <c r="H40" s="48"/>
      <c r="I40" s="48"/>
      <c r="J40" s="48"/>
      <c r="K40" s="48"/>
      <c r="L40" s="47"/>
    </row>
    <row r="41" spans="1:12" s="50" customFormat="1" ht="27">
      <c r="A41" s="63">
        <v>39</v>
      </c>
      <c r="B41" s="64" t="s">
        <v>29</v>
      </c>
      <c r="C41" s="65" t="s">
        <v>74</v>
      </c>
      <c r="D41" s="66" t="s">
        <v>76</v>
      </c>
      <c r="E41" s="48"/>
      <c r="F41" s="49"/>
      <c r="G41" s="48"/>
      <c r="H41" s="48"/>
      <c r="I41" s="48"/>
      <c r="J41" s="48"/>
      <c r="K41" s="48"/>
      <c r="L41" s="47"/>
    </row>
    <row r="42" spans="1:12" s="50" customFormat="1" ht="40.5">
      <c r="A42" s="63">
        <v>40</v>
      </c>
      <c r="B42" s="64" t="s">
        <v>29</v>
      </c>
      <c r="C42" s="65" t="s">
        <v>74</v>
      </c>
      <c r="D42" s="66" t="s">
        <v>77</v>
      </c>
      <c r="E42" s="48"/>
      <c r="F42" s="49"/>
      <c r="G42" s="48"/>
      <c r="H42" s="48"/>
      <c r="I42" s="48"/>
      <c r="J42" s="48"/>
      <c r="K42" s="48"/>
      <c r="L42" s="47"/>
    </row>
    <row r="43" spans="1:12" s="50" customFormat="1" ht="27">
      <c r="A43" s="63">
        <v>41</v>
      </c>
      <c r="B43" s="64" t="s">
        <v>29</v>
      </c>
      <c r="C43" s="65" t="s">
        <v>74</v>
      </c>
      <c r="D43" s="66" t="s">
        <v>78</v>
      </c>
      <c r="E43" s="48"/>
      <c r="F43" s="49"/>
      <c r="G43" s="48"/>
      <c r="H43" s="48"/>
      <c r="I43" s="48"/>
      <c r="J43" s="48"/>
      <c r="K43" s="48"/>
      <c r="L43" s="47"/>
    </row>
    <row r="44" spans="1:12" s="50" customFormat="1" ht="53.25">
      <c r="A44" s="63">
        <v>42</v>
      </c>
      <c r="B44" s="64" t="s">
        <v>29</v>
      </c>
      <c r="C44" s="65" t="s">
        <v>79</v>
      </c>
      <c r="D44" s="66" t="s">
        <v>80</v>
      </c>
      <c r="E44" s="48"/>
      <c r="F44" s="49"/>
      <c r="G44" s="48"/>
      <c r="H44" s="48"/>
      <c r="I44" s="48"/>
      <c r="J44" s="48"/>
      <c r="K44" s="48"/>
      <c r="L44" s="47"/>
    </row>
    <row r="45" spans="1:12" s="50" customFormat="1" ht="40.5">
      <c r="A45" s="63">
        <v>43</v>
      </c>
      <c r="B45" s="64" t="s">
        <v>29</v>
      </c>
      <c r="C45" s="65" t="s">
        <v>79</v>
      </c>
      <c r="D45" s="66" t="s">
        <v>81</v>
      </c>
      <c r="E45" s="48"/>
      <c r="F45" s="49"/>
      <c r="G45" s="48"/>
      <c r="H45" s="48"/>
      <c r="I45" s="48"/>
      <c r="J45" s="48"/>
      <c r="K45" s="48"/>
      <c r="L45" s="47"/>
    </row>
    <row r="46" spans="1:12" s="50" customFormat="1" ht="40.5">
      <c r="A46" s="63">
        <v>44</v>
      </c>
      <c r="B46" s="64" t="s">
        <v>29</v>
      </c>
      <c r="C46" s="65" t="s">
        <v>79</v>
      </c>
      <c r="D46" s="66" t="s">
        <v>82</v>
      </c>
      <c r="E46" s="48"/>
      <c r="F46" s="49"/>
      <c r="G46" s="48"/>
      <c r="H46" s="48"/>
      <c r="I46" s="48"/>
      <c r="J46" s="48"/>
      <c r="K46" s="48"/>
      <c r="L46" s="47"/>
    </row>
    <row r="47" spans="1:12" ht="27">
      <c r="A47" s="5">
        <v>45</v>
      </c>
      <c r="B47" s="6" t="s">
        <v>83</v>
      </c>
      <c r="C47" s="7" t="s">
        <v>30</v>
      </c>
      <c r="D47" s="4" t="s">
        <v>84</v>
      </c>
      <c r="E47" s="3"/>
      <c r="F47" s="40"/>
      <c r="G47" s="3"/>
      <c r="H47" s="3"/>
      <c r="I47" s="3"/>
      <c r="J47" s="3"/>
      <c r="K47" s="3"/>
      <c r="L47" s="4"/>
    </row>
    <row r="48" spans="1:12" ht="27">
      <c r="A48" s="5">
        <v>46</v>
      </c>
      <c r="B48" s="6" t="s">
        <v>83</v>
      </c>
      <c r="C48" s="7" t="s">
        <v>30</v>
      </c>
      <c r="D48" s="4" t="s">
        <v>85</v>
      </c>
      <c r="E48" s="3"/>
      <c r="F48" s="40"/>
      <c r="G48" s="3"/>
      <c r="H48" s="3"/>
      <c r="I48" s="3"/>
      <c r="J48" s="3"/>
      <c r="K48" s="3"/>
      <c r="L48" s="4"/>
    </row>
    <row r="49" spans="1:12" ht="40.5">
      <c r="A49" s="5">
        <v>47</v>
      </c>
      <c r="B49" s="6" t="s">
        <v>83</v>
      </c>
      <c r="C49" s="7" t="s">
        <v>30</v>
      </c>
      <c r="D49" s="4" t="s">
        <v>86</v>
      </c>
      <c r="E49" s="3"/>
      <c r="F49" s="40"/>
      <c r="G49" s="3"/>
      <c r="H49" s="3"/>
      <c r="I49" s="3"/>
      <c r="J49" s="3"/>
      <c r="K49" s="3"/>
      <c r="L49" s="4"/>
    </row>
    <row r="50" spans="1:12" ht="27">
      <c r="A50" s="5">
        <v>48</v>
      </c>
      <c r="B50" s="6" t="s">
        <v>83</v>
      </c>
      <c r="C50" s="7" t="s">
        <v>30</v>
      </c>
      <c r="D50" s="4" t="s">
        <v>87</v>
      </c>
      <c r="E50" s="3"/>
      <c r="F50" s="40"/>
      <c r="G50" s="3"/>
      <c r="H50" s="3"/>
      <c r="I50" s="3"/>
      <c r="J50" s="3"/>
      <c r="K50" s="3"/>
      <c r="L50" s="4"/>
    </row>
    <row r="51" spans="1:12" ht="27">
      <c r="A51" s="5">
        <v>49</v>
      </c>
      <c r="B51" s="6" t="s">
        <v>83</v>
      </c>
      <c r="C51" s="7" t="s">
        <v>30</v>
      </c>
      <c r="D51" s="4" t="s">
        <v>88</v>
      </c>
      <c r="E51" s="3"/>
      <c r="F51" s="40"/>
      <c r="G51" s="3"/>
      <c r="H51" s="3"/>
      <c r="I51" s="3"/>
      <c r="J51" s="3"/>
      <c r="K51" s="3"/>
      <c r="L51" s="4"/>
    </row>
    <row r="52" spans="1:12" ht="27">
      <c r="A52" s="5">
        <v>50</v>
      </c>
      <c r="B52" s="6" t="s">
        <v>83</v>
      </c>
      <c r="C52" s="7" t="s">
        <v>30</v>
      </c>
      <c r="D52" s="4" t="s">
        <v>89</v>
      </c>
      <c r="E52" s="3"/>
      <c r="F52" s="40"/>
      <c r="G52" s="3"/>
      <c r="H52" s="3"/>
      <c r="I52" s="3"/>
      <c r="J52" s="3"/>
      <c r="K52" s="3"/>
      <c r="L52" s="4"/>
    </row>
    <row r="53" spans="1:12" ht="27">
      <c r="A53" s="5">
        <v>51</v>
      </c>
      <c r="B53" s="6" t="s">
        <v>83</v>
      </c>
      <c r="C53" s="7" t="s">
        <v>30</v>
      </c>
      <c r="D53" s="4" t="s">
        <v>90</v>
      </c>
      <c r="E53" s="3"/>
      <c r="F53" s="40"/>
      <c r="G53" s="3"/>
      <c r="H53" s="3"/>
      <c r="I53" s="3"/>
      <c r="J53" s="3"/>
      <c r="K53" s="3"/>
      <c r="L53" s="4"/>
    </row>
    <row r="54" spans="1:12" ht="49.5" customHeight="1">
      <c r="A54" s="5">
        <v>52</v>
      </c>
      <c r="B54" s="6" t="s">
        <v>83</v>
      </c>
      <c r="C54" s="7" t="s">
        <v>39</v>
      </c>
      <c r="D54" s="4" t="s">
        <v>91</v>
      </c>
      <c r="E54" s="3"/>
      <c r="F54" s="40"/>
      <c r="G54" s="3"/>
      <c r="H54" s="3"/>
      <c r="I54" s="3"/>
      <c r="J54" s="3"/>
      <c r="K54" s="3"/>
      <c r="L54" s="4"/>
    </row>
    <row r="55" spans="1:12" ht="72" customHeight="1">
      <c r="A55" s="5">
        <v>53</v>
      </c>
      <c r="B55" s="6" t="s">
        <v>83</v>
      </c>
      <c r="C55" s="7" t="s">
        <v>39</v>
      </c>
      <c r="D55" s="4" t="s">
        <v>92</v>
      </c>
      <c r="E55" s="3"/>
      <c r="F55" s="40"/>
      <c r="G55" s="3"/>
      <c r="H55" s="3"/>
      <c r="I55" s="3"/>
      <c r="J55" s="3"/>
      <c r="K55" s="3"/>
      <c r="L55" s="4"/>
    </row>
    <row r="56" spans="1:12" ht="38.25" customHeight="1">
      <c r="A56" s="5">
        <v>54</v>
      </c>
      <c r="B56" s="6" t="s">
        <v>83</v>
      </c>
      <c r="C56" s="7" t="s">
        <v>39</v>
      </c>
      <c r="D56" s="4" t="s">
        <v>93</v>
      </c>
      <c r="E56" s="3"/>
      <c r="F56" s="40"/>
      <c r="G56" s="3"/>
      <c r="H56" s="3"/>
      <c r="I56" s="3"/>
      <c r="J56" s="3"/>
      <c r="K56" s="3"/>
      <c r="L56" s="4"/>
    </row>
    <row r="57" spans="1:12" ht="63" customHeight="1">
      <c r="A57" s="5">
        <v>55</v>
      </c>
      <c r="B57" s="6" t="s">
        <v>83</v>
      </c>
      <c r="C57" s="7" t="s">
        <v>39</v>
      </c>
      <c r="D57" s="4" t="s">
        <v>94</v>
      </c>
      <c r="E57" s="3"/>
      <c r="F57" s="40"/>
      <c r="G57" s="3"/>
      <c r="H57" s="3"/>
      <c r="I57" s="3"/>
      <c r="J57" s="3"/>
      <c r="K57" s="3"/>
      <c r="L57" s="4"/>
    </row>
    <row r="58" spans="1:12" ht="49.5" customHeight="1">
      <c r="A58" s="5">
        <v>56</v>
      </c>
      <c r="B58" s="6" t="s">
        <v>83</v>
      </c>
      <c r="C58" s="7" t="s">
        <v>39</v>
      </c>
      <c r="D58" s="4" t="s">
        <v>95</v>
      </c>
      <c r="E58" s="3"/>
      <c r="F58" s="40"/>
      <c r="G58" s="3"/>
      <c r="H58" s="3"/>
      <c r="I58" s="3"/>
      <c r="J58" s="3"/>
      <c r="K58" s="3"/>
      <c r="L58" s="4"/>
    </row>
    <row r="59" spans="1:12" ht="74.25" customHeight="1">
      <c r="A59" s="5">
        <v>57</v>
      </c>
      <c r="B59" s="6" t="s">
        <v>83</v>
      </c>
      <c r="C59" s="7" t="s">
        <v>39</v>
      </c>
      <c r="D59" s="4" t="s">
        <v>96</v>
      </c>
      <c r="E59" s="3"/>
      <c r="F59" s="40"/>
      <c r="G59" s="3"/>
      <c r="H59" s="3"/>
      <c r="I59" s="3"/>
      <c r="J59" s="3"/>
      <c r="K59" s="3"/>
      <c r="L59" s="4"/>
    </row>
    <row r="60" spans="1:12" ht="48.75" customHeight="1">
      <c r="A60" s="5">
        <v>58</v>
      </c>
      <c r="B60" s="6" t="s">
        <v>83</v>
      </c>
      <c r="C60" s="7" t="s">
        <v>47</v>
      </c>
      <c r="D60" s="4" t="s">
        <v>97</v>
      </c>
      <c r="E60" s="3"/>
      <c r="F60" s="40"/>
      <c r="G60" s="3"/>
      <c r="H60" s="3"/>
      <c r="I60" s="3"/>
      <c r="J60" s="3"/>
      <c r="K60" s="3"/>
      <c r="L60" s="4"/>
    </row>
    <row r="61" spans="1:12" ht="45.75" customHeight="1">
      <c r="A61" s="5">
        <v>59</v>
      </c>
      <c r="B61" s="6" t="s">
        <v>83</v>
      </c>
      <c r="C61" s="7" t="s">
        <v>47</v>
      </c>
      <c r="D61" s="4" t="s">
        <v>98</v>
      </c>
      <c r="E61" s="3"/>
      <c r="F61" s="40"/>
      <c r="G61" s="3"/>
      <c r="H61" s="3"/>
      <c r="I61" s="3"/>
      <c r="J61" s="3"/>
      <c r="K61" s="3"/>
      <c r="L61" s="4"/>
    </row>
    <row r="62" spans="1:12" ht="27">
      <c r="A62" s="5">
        <v>60</v>
      </c>
      <c r="B62" s="6" t="s">
        <v>83</v>
      </c>
      <c r="C62" s="7" t="s">
        <v>47</v>
      </c>
      <c r="D62" s="4" t="s">
        <v>50</v>
      </c>
      <c r="E62" s="3"/>
      <c r="F62" s="40"/>
      <c r="G62" s="3"/>
      <c r="H62" s="3"/>
      <c r="I62" s="3"/>
      <c r="J62" s="3"/>
      <c r="K62" s="3"/>
      <c r="L62" s="4"/>
    </row>
    <row r="63" spans="1:12" ht="27">
      <c r="A63" s="5">
        <v>61</v>
      </c>
      <c r="B63" s="6" t="s">
        <v>83</v>
      </c>
      <c r="C63" s="7" t="s">
        <v>47</v>
      </c>
      <c r="D63" s="4" t="s">
        <v>99</v>
      </c>
      <c r="E63" s="3"/>
      <c r="F63" s="40"/>
      <c r="G63" s="3"/>
      <c r="H63" s="3"/>
      <c r="I63" s="3"/>
      <c r="J63" s="3"/>
      <c r="K63" s="3"/>
      <c r="L63" s="4"/>
    </row>
    <row r="64" spans="1:12" ht="53.25">
      <c r="A64" s="5">
        <v>62</v>
      </c>
      <c r="B64" s="6" t="s">
        <v>83</v>
      </c>
      <c r="C64" s="7" t="s">
        <v>47</v>
      </c>
      <c r="D64" s="4" t="s">
        <v>100</v>
      </c>
      <c r="E64" s="3"/>
      <c r="F64" s="40"/>
      <c r="G64" s="3"/>
      <c r="H64" s="3"/>
      <c r="I64" s="3"/>
      <c r="J64" s="3"/>
      <c r="K64" s="3"/>
      <c r="L64" s="4"/>
    </row>
    <row r="65" spans="1:12" ht="27">
      <c r="A65" s="5">
        <v>63</v>
      </c>
      <c r="B65" s="6" t="s">
        <v>83</v>
      </c>
      <c r="C65" s="7" t="s">
        <v>53</v>
      </c>
      <c r="D65" s="4" t="s">
        <v>101</v>
      </c>
      <c r="E65" s="3"/>
      <c r="F65" s="40"/>
      <c r="G65" s="3"/>
      <c r="H65" s="3"/>
      <c r="I65" s="3"/>
      <c r="J65" s="3"/>
      <c r="K65" s="3"/>
      <c r="L65" s="4"/>
    </row>
    <row r="66" spans="1:12" ht="40.5">
      <c r="A66" s="5">
        <v>64</v>
      </c>
      <c r="B66" s="6" t="s">
        <v>83</v>
      </c>
      <c r="C66" s="7" t="s">
        <v>53</v>
      </c>
      <c r="D66" s="4" t="s">
        <v>102</v>
      </c>
      <c r="E66" s="3"/>
      <c r="F66" s="40"/>
      <c r="G66" s="3"/>
      <c r="H66" s="3"/>
      <c r="I66" s="3"/>
      <c r="J66" s="3"/>
      <c r="K66" s="3"/>
      <c r="L66" s="4"/>
    </row>
    <row r="67" spans="1:12" ht="53.25">
      <c r="A67" s="5">
        <v>65</v>
      </c>
      <c r="B67" s="6" t="s">
        <v>83</v>
      </c>
      <c r="C67" s="7" t="s">
        <v>53</v>
      </c>
      <c r="D67" s="4" t="s">
        <v>103</v>
      </c>
      <c r="E67" s="3"/>
      <c r="F67" s="40"/>
      <c r="G67" s="3"/>
      <c r="H67" s="3"/>
      <c r="I67" s="3"/>
      <c r="J67" s="3"/>
      <c r="K67" s="3"/>
      <c r="L67" s="4"/>
    </row>
    <row r="68" spans="1:12" ht="27">
      <c r="A68" s="5">
        <v>66</v>
      </c>
      <c r="B68" s="6" t="s">
        <v>83</v>
      </c>
      <c r="C68" s="7" t="s">
        <v>53</v>
      </c>
      <c r="D68" s="4" t="s">
        <v>57</v>
      </c>
      <c r="E68" s="3"/>
      <c r="F68" s="40"/>
      <c r="G68" s="3"/>
      <c r="H68" s="3"/>
      <c r="I68" s="3"/>
      <c r="J68" s="3"/>
      <c r="K68" s="3"/>
      <c r="L68" s="4"/>
    </row>
    <row r="69" spans="1:12" ht="27">
      <c r="A69" s="5">
        <v>67</v>
      </c>
      <c r="B69" s="6" t="s">
        <v>83</v>
      </c>
      <c r="C69" s="7" t="s">
        <v>53</v>
      </c>
      <c r="D69" s="4" t="s">
        <v>104</v>
      </c>
      <c r="E69" s="3"/>
      <c r="F69" s="40"/>
      <c r="G69" s="3"/>
      <c r="H69" s="3"/>
      <c r="I69" s="3"/>
      <c r="J69" s="3"/>
      <c r="K69" s="3"/>
      <c r="L69" s="4"/>
    </row>
    <row r="70" spans="1:12" ht="40.5">
      <c r="A70" s="5">
        <v>68</v>
      </c>
      <c r="B70" s="6" t="s">
        <v>83</v>
      </c>
      <c r="C70" s="7" t="s">
        <v>58</v>
      </c>
      <c r="D70" s="4" t="s">
        <v>105</v>
      </c>
      <c r="E70" s="3"/>
      <c r="F70" s="40"/>
      <c r="G70" s="3"/>
      <c r="H70" s="3"/>
      <c r="I70" s="3"/>
      <c r="J70" s="3"/>
      <c r="K70" s="3"/>
      <c r="L70" s="4"/>
    </row>
    <row r="71" spans="1:12" ht="27">
      <c r="A71" s="5">
        <v>69</v>
      </c>
      <c r="B71" s="6" t="s">
        <v>83</v>
      </c>
      <c r="C71" s="7" t="s">
        <v>58</v>
      </c>
      <c r="D71" s="4" t="s">
        <v>106</v>
      </c>
      <c r="E71" s="3"/>
      <c r="F71" s="40"/>
      <c r="G71" s="3"/>
      <c r="H71" s="3"/>
      <c r="I71" s="3"/>
      <c r="J71" s="3"/>
      <c r="K71" s="3"/>
      <c r="L71" s="4"/>
    </row>
    <row r="72" spans="1:12" ht="13.5">
      <c r="A72" s="5">
        <v>70</v>
      </c>
      <c r="B72" s="6" t="s">
        <v>83</v>
      </c>
      <c r="C72" s="7" t="s">
        <v>58</v>
      </c>
      <c r="D72" s="4" t="s">
        <v>107</v>
      </c>
      <c r="E72" s="3"/>
      <c r="F72" s="40"/>
      <c r="G72" s="3"/>
      <c r="H72" s="3"/>
      <c r="I72" s="3"/>
      <c r="J72" s="3"/>
      <c r="K72" s="3"/>
      <c r="L72" s="4"/>
    </row>
    <row r="73" spans="1:12" ht="27">
      <c r="A73" s="5">
        <v>71</v>
      </c>
      <c r="B73" s="6" t="s">
        <v>83</v>
      </c>
      <c r="C73" s="7" t="s">
        <v>58</v>
      </c>
      <c r="D73" s="4" t="s">
        <v>108</v>
      </c>
      <c r="E73" s="3"/>
      <c r="F73" s="40"/>
      <c r="G73" s="3"/>
      <c r="H73" s="3"/>
      <c r="I73" s="3"/>
      <c r="J73" s="3"/>
      <c r="K73" s="3"/>
      <c r="L73" s="4"/>
    </row>
    <row r="74" spans="1:12" ht="27">
      <c r="A74" s="5">
        <v>72</v>
      </c>
      <c r="B74" s="6" t="s">
        <v>83</v>
      </c>
      <c r="C74" s="7" t="s">
        <v>58</v>
      </c>
      <c r="D74" s="4" t="s">
        <v>109</v>
      </c>
      <c r="E74" s="3"/>
      <c r="F74" s="40"/>
      <c r="G74" s="3"/>
      <c r="H74" s="3"/>
      <c r="I74" s="3"/>
      <c r="J74" s="3"/>
      <c r="K74" s="3"/>
      <c r="L74" s="4"/>
    </row>
    <row r="75" spans="1:12" ht="27">
      <c r="A75" s="5">
        <v>73</v>
      </c>
      <c r="B75" s="6" t="s">
        <v>83</v>
      </c>
      <c r="C75" s="7" t="s">
        <v>63</v>
      </c>
      <c r="D75" s="4" t="s">
        <v>64</v>
      </c>
      <c r="E75" s="3"/>
      <c r="F75" s="40"/>
      <c r="G75" s="3"/>
      <c r="H75" s="3"/>
      <c r="I75" s="3"/>
      <c r="J75" s="3"/>
      <c r="K75" s="3"/>
      <c r="L75" s="4"/>
    </row>
    <row r="76" spans="1:12" ht="40.5">
      <c r="A76" s="5">
        <v>74</v>
      </c>
      <c r="B76" s="6" t="s">
        <v>83</v>
      </c>
      <c r="C76" s="7" t="s">
        <v>63</v>
      </c>
      <c r="D76" s="4" t="s">
        <v>110</v>
      </c>
      <c r="E76" s="3"/>
      <c r="F76" s="40"/>
      <c r="G76" s="3"/>
      <c r="H76" s="3"/>
      <c r="I76" s="3"/>
      <c r="J76" s="3"/>
      <c r="K76" s="3"/>
      <c r="L76" s="4"/>
    </row>
    <row r="77" spans="1:12" ht="27">
      <c r="A77" s="5">
        <v>75</v>
      </c>
      <c r="B77" s="6" t="s">
        <v>83</v>
      </c>
      <c r="C77" s="7" t="s">
        <v>63</v>
      </c>
      <c r="D77" s="4" t="s">
        <v>66</v>
      </c>
      <c r="E77" s="3"/>
      <c r="F77" s="40"/>
      <c r="G77" s="3"/>
      <c r="H77" s="3"/>
      <c r="I77" s="3"/>
      <c r="J77" s="3"/>
      <c r="K77" s="3"/>
      <c r="L77" s="4"/>
    </row>
    <row r="78" spans="1:12" ht="27">
      <c r="A78" s="5">
        <v>76</v>
      </c>
      <c r="B78" s="6" t="s">
        <v>83</v>
      </c>
      <c r="C78" s="7" t="s">
        <v>63</v>
      </c>
      <c r="D78" s="4" t="s">
        <v>111</v>
      </c>
      <c r="E78" s="3"/>
      <c r="F78" s="40"/>
      <c r="G78" s="3"/>
      <c r="H78" s="3"/>
      <c r="I78" s="3"/>
      <c r="J78" s="3"/>
      <c r="K78" s="3"/>
      <c r="L78" s="4"/>
    </row>
    <row r="79" spans="1:12" ht="27">
      <c r="A79" s="5">
        <v>77</v>
      </c>
      <c r="B79" s="6" t="s">
        <v>83</v>
      </c>
      <c r="C79" s="7" t="s">
        <v>63</v>
      </c>
      <c r="D79" s="4" t="s">
        <v>112</v>
      </c>
      <c r="E79" s="3"/>
      <c r="F79" s="40"/>
      <c r="G79" s="3"/>
      <c r="H79" s="3"/>
      <c r="I79" s="3"/>
      <c r="J79" s="3"/>
      <c r="K79" s="3"/>
      <c r="L79" s="4"/>
    </row>
    <row r="80" spans="1:12" ht="27">
      <c r="A80" s="5">
        <v>78</v>
      </c>
      <c r="B80" s="6" t="s">
        <v>83</v>
      </c>
      <c r="C80" s="7" t="s">
        <v>63</v>
      </c>
      <c r="D80" s="4" t="s">
        <v>69</v>
      </c>
      <c r="E80" s="3"/>
      <c r="F80" s="40"/>
      <c r="G80" s="3"/>
      <c r="H80" s="3"/>
      <c r="I80" s="3"/>
      <c r="J80" s="3"/>
      <c r="K80" s="3"/>
      <c r="L80" s="4"/>
    </row>
    <row r="81" spans="1:12" ht="27">
      <c r="A81" s="5">
        <v>79</v>
      </c>
      <c r="B81" s="6" t="s">
        <v>83</v>
      </c>
      <c r="C81" s="7" t="s">
        <v>70</v>
      </c>
      <c r="D81" s="4" t="s">
        <v>71</v>
      </c>
      <c r="E81" s="3"/>
      <c r="F81" s="40"/>
      <c r="G81" s="3"/>
      <c r="H81" s="3"/>
      <c r="I81" s="3"/>
      <c r="J81" s="3"/>
      <c r="K81" s="3"/>
      <c r="L81" s="4"/>
    </row>
    <row r="82" spans="1:12" ht="27">
      <c r="A82" s="5">
        <v>80</v>
      </c>
      <c r="B82" s="6" t="s">
        <v>83</v>
      </c>
      <c r="C82" s="7" t="s">
        <v>70</v>
      </c>
      <c r="D82" s="4" t="s">
        <v>72</v>
      </c>
      <c r="E82" s="3"/>
      <c r="F82" s="40"/>
      <c r="G82" s="3"/>
      <c r="H82" s="3"/>
      <c r="I82" s="3"/>
      <c r="J82" s="3"/>
      <c r="K82" s="3"/>
      <c r="L82" s="4"/>
    </row>
    <row r="83" spans="1:12" ht="27">
      <c r="A83" s="5">
        <v>81</v>
      </c>
      <c r="B83" s="6" t="s">
        <v>83</v>
      </c>
      <c r="C83" s="7" t="s">
        <v>70</v>
      </c>
      <c r="D83" s="4" t="s">
        <v>73</v>
      </c>
      <c r="E83" s="3"/>
      <c r="F83" s="40"/>
      <c r="G83" s="3"/>
      <c r="H83" s="3"/>
      <c r="I83" s="3"/>
      <c r="J83" s="3"/>
      <c r="K83" s="3"/>
      <c r="L83" s="4"/>
    </row>
    <row r="84" spans="1:12" ht="53.25">
      <c r="A84" s="5">
        <v>82</v>
      </c>
      <c r="B84" s="6" t="s">
        <v>83</v>
      </c>
      <c r="C84" s="7" t="s">
        <v>74</v>
      </c>
      <c r="D84" s="4" t="s">
        <v>113</v>
      </c>
      <c r="E84" s="3"/>
      <c r="F84" s="40"/>
      <c r="G84" s="3"/>
      <c r="H84" s="3"/>
      <c r="I84" s="3"/>
      <c r="J84" s="3"/>
      <c r="K84" s="3"/>
      <c r="L84" s="4"/>
    </row>
    <row r="85" spans="1:12" ht="27">
      <c r="A85" s="5">
        <v>83</v>
      </c>
      <c r="B85" s="6" t="s">
        <v>83</v>
      </c>
      <c r="C85" s="7" t="s">
        <v>74</v>
      </c>
      <c r="D85" s="4" t="s">
        <v>114</v>
      </c>
      <c r="E85" s="3"/>
      <c r="F85" s="40"/>
      <c r="G85" s="3"/>
      <c r="H85" s="3"/>
      <c r="I85" s="3"/>
      <c r="J85" s="3"/>
      <c r="K85" s="3"/>
      <c r="L85" s="4"/>
    </row>
    <row r="86" spans="1:12" ht="40.5">
      <c r="A86" s="5">
        <v>84</v>
      </c>
      <c r="B86" s="6" t="s">
        <v>83</v>
      </c>
      <c r="C86" s="7" t="s">
        <v>74</v>
      </c>
      <c r="D86" s="4" t="s">
        <v>115</v>
      </c>
      <c r="E86" s="3"/>
      <c r="F86" s="40"/>
      <c r="G86" s="3"/>
      <c r="H86" s="3"/>
      <c r="I86" s="3"/>
      <c r="J86" s="3"/>
      <c r="K86" s="3"/>
      <c r="L86" s="4"/>
    </row>
    <row r="87" spans="1:12" ht="27">
      <c r="A87" s="5">
        <v>85</v>
      </c>
      <c r="B87" s="6" t="s">
        <v>83</v>
      </c>
      <c r="C87" s="7" t="s">
        <v>74</v>
      </c>
      <c r="D87" s="4" t="s">
        <v>116</v>
      </c>
      <c r="E87" s="3"/>
      <c r="F87" s="40"/>
      <c r="G87" s="3"/>
      <c r="H87" s="3"/>
      <c r="I87" s="3"/>
      <c r="J87" s="3"/>
      <c r="K87" s="3"/>
      <c r="L87" s="4"/>
    </row>
    <row r="88" spans="1:12" ht="53.25">
      <c r="A88" s="5">
        <v>86</v>
      </c>
      <c r="B88" s="6" t="s">
        <v>83</v>
      </c>
      <c r="C88" s="7" t="s">
        <v>79</v>
      </c>
      <c r="D88" s="4" t="s">
        <v>117</v>
      </c>
      <c r="E88" s="3"/>
      <c r="F88" s="40"/>
      <c r="G88" s="3"/>
      <c r="H88" s="3"/>
      <c r="I88" s="3"/>
      <c r="J88" s="3"/>
      <c r="K88" s="3"/>
      <c r="L88" s="4"/>
    </row>
    <row r="89" spans="1:12" ht="40.5">
      <c r="A89" s="5">
        <v>87</v>
      </c>
      <c r="B89" s="6" t="s">
        <v>83</v>
      </c>
      <c r="C89" s="7" t="s">
        <v>79</v>
      </c>
      <c r="D89" s="4" t="s">
        <v>118</v>
      </c>
      <c r="E89" s="3"/>
      <c r="F89" s="40"/>
      <c r="G89" s="3"/>
      <c r="H89" s="3"/>
      <c r="I89" s="3"/>
      <c r="J89" s="3"/>
      <c r="K89" s="3"/>
      <c r="L89" s="4"/>
    </row>
    <row r="90" spans="1:12" ht="40.5">
      <c r="A90" s="5">
        <v>88</v>
      </c>
      <c r="B90" s="6" t="s">
        <v>83</v>
      </c>
      <c r="C90" s="7" t="s">
        <v>79</v>
      </c>
      <c r="D90" s="4" t="s">
        <v>119</v>
      </c>
      <c r="E90" s="3"/>
      <c r="F90" s="40"/>
      <c r="G90" s="3"/>
      <c r="H90" s="3"/>
      <c r="I90" s="3"/>
      <c r="J90" s="3"/>
      <c r="K90" s="3"/>
      <c r="L90" s="4"/>
    </row>
    <row r="91" spans="1:12">
      <c r="A91" s="1"/>
      <c r="C91" s="1"/>
    </row>
    <row r="92" spans="1:12">
      <c r="A92" s="1"/>
      <c r="C92" s="1"/>
    </row>
    <row r="93" spans="1:12">
      <c r="A93" s="1"/>
      <c r="C93" s="1"/>
    </row>
    <row r="94" spans="1:12">
      <c r="A94" s="1"/>
      <c r="C94" s="1"/>
    </row>
    <row r="95" spans="1:12">
      <c r="A95" s="1"/>
      <c r="C95" s="1"/>
    </row>
    <row r="96" spans="1:12">
      <c r="A96" s="1"/>
      <c r="C96" s="1"/>
    </row>
    <row r="97" spans="4:4" s="1" customFormat="1">
      <c r="D97" s="44"/>
    </row>
    <row r="98" spans="4:4" s="1" customFormat="1">
      <c r="D98" s="44"/>
    </row>
    <row r="99" spans="4:4" s="1" customFormat="1">
      <c r="D99" s="44"/>
    </row>
    <row r="100" spans="4:4" s="1" customFormat="1">
      <c r="D100" s="44"/>
    </row>
    <row r="101" spans="4:4" s="1" customFormat="1">
      <c r="D101" s="44"/>
    </row>
    <row r="102" spans="4:4" s="1" customFormat="1">
      <c r="D102" s="44"/>
    </row>
    <row r="103" spans="4:4" s="1" customFormat="1">
      <c r="D103" s="44"/>
    </row>
    <row r="104" spans="4:4" s="1" customFormat="1">
      <c r="D104" s="44"/>
    </row>
    <row r="105" spans="4:4" s="1" customFormat="1">
      <c r="D105" s="44"/>
    </row>
    <row r="106" spans="4:4" s="1" customFormat="1">
      <c r="D106" s="44"/>
    </row>
    <row r="107" spans="4:4" s="1" customFormat="1">
      <c r="D107" s="44"/>
    </row>
  </sheetData>
  <mergeCells count="1">
    <mergeCell ref="A1:L1"/>
  </mergeCells>
  <phoneticPr fontId="4" type="noConversion"/>
  <dataValidations count="1">
    <dataValidation type="list" allowBlank="1" showInputMessage="1" showErrorMessage="1" sqref="E3:E90" xr:uid="{F0206184-4EC8-47C1-BE39-98F47581F4C0}">
      <formula1>"Yes, No"</formula1>
    </dataValidation>
  </dataValidations>
  <pageMargins left="0.7" right="0.7" top="0.75" bottom="0.75" header="0.3" footer="0.3"/>
  <pageSetup scale="35" fitToHeight="0" orientation="landscape" horizontalDpi="1200" verticalDpi="120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F86EE1A-AFA5-46FF-AFC2-10043D1D419C}">
          <x14:formula1>
            <xm:f>Key!$B$2:$B$6</xm:f>
          </x14:formula1>
          <xm:sqref>G3:G90</xm:sqref>
        </x14:dataValidation>
        <x14:dataValidation type="list" allowBlank="1" showInputMessage="1" showErrorMessage="1" xr:uid="{D1A6AC17-7C67-4270-81B2-46F0217FC9D9}">
          <x14:formula1>
            <xm:f>Key!$C$2:$C$6</xm:f>
          </x14:formula1>
          <xm:sqref>H3:H90</xm:sqref>
        </x14:dataValidation>
        <x14:dataValidation type="list" allowBlank="1" showInputMessage="1" showErrorMessage="1" xr:uid="{306A35D0-CEB1-4C2C-B629-8E4D762C09A3}">
          <x14:formula1>
            <xm:f>Key!$D$2:$D$5</xm:f>
          </x14:formula1>
          <xm:sqref>I3:I90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5D7E4-B3C3-4C4E-A12A-FD47BEFFF1C5}">
  <dimension ref="A65:L144"/>
  <sheetViews>
    <sheetView zoomScale="70" zoomScaleNormal="70" workbookViewId="0">
      <selection activeCell="G133" sqref="G133"/>
    </sheetView>
  </sheetViews>
  <sheetFormatPr defaultRowHeight="14.45"/>
  <cols>
    <col min="1" max="1" width="34" customWidth="1"/>
    <col min="2" max="2" width="16.42578125" customWidth="1"/>
    <col min="3" max="3" width="14.42578125" bestFit="1" customWidth="1"/>
    <col min="4" max="5" width="21" bestFit="1" customWidth="1"/>
    <col min="6" max="6" width="27.7109375" bestFit="1" customWidth="1"/>
    <col min="7" max="7" width="21" bestFit="1" customWidth="1"/>
    <col min="8" max="8" width="17.28515625" customWidth="1"/>
    <col min="11" max="11" width="11" bestFit="1" customWidth="1"/>
  </cols>
  <sheetData>
    <row r="65" spans="1:9" ht="15" thickBot="1"/>
    <row r="66" spans="1:9" ht="18.600000000000001">
      <c r="A66" s="53" t="s">
        <v>120</v>
      </c>
      <c r="B66" s="54"/>
      <c r="C66" s="54"/>
      <c r="D66" s="54"/>
      <c r="E66" s="54"/>
      <c r="F66" s="54"/>
      <c r="G66" s="54"/>
      <c r="H66" s="54"/>
      <c r="I66" s="55"/>
    </row>
    <row r="67" spans="1:9">
      <c r="A67" s="17"/>
      <c r="B67" s="52" t="s">
        <v>121</v>
      </c>
      <c r="C67" s="52"/>
      <c r="D67" s="52"/>
      <c r="E67" s="52" t="s">
        <v>1</v>
      </c>
      <c r="F67" s="52"/>
      <c r="G67" s="52"/>
      <c r="H67" s="25"/>
      <c r="I67" s="28"/>
    </row>
    <row r="68" spans="1:9">
      <c r="A68" s="19" t="s">
        <v>122</v>
      </c>
      <c r="B68" s="11" t="s">
        <v>5</v>
      </c>
      <c r="C68" s="11" t="s">
        <v>9</v>
      </c>
      <c r="D68" s="11" t="s">
        <v>12</v>
      </c>
      <c r="E68" s="12" t="s">
        <v>5</v>
      </c>
      <c r="F68" s="11" t="s">
        <v>9</v>
      </c>
      <c r="G68" s="11" t="s">
        <v>12</v>
      </c>
      <c r="H68" s="11" t="s">
        <v>123</v>
      </c>
      <c r="I68" s="29" t="s">
        <v>124</v>
      </c>
    </row>
    <row r="69" spans="1:9">
      <c r="A69" s="20" t="s">
        <v>125</v>
      </c>
      <c r="B69" s="11">
        <f>E69*0</f>
        <v>0</v>
      </c>
      <c r="C69" s="11">
        <f>F69*1</f>
        <v>0</v>
      </c>
      <c r="D69" s="11">
        <f>G69*2</f>
        <v>0</v>
      </c>
      <c r="E69" s="12">
        <f>COUNTIFS(Table1[Section], "F&amp;C", Table1[Capacity ],"No capacity")</f>
        <v>0</v>
      </c>
      <c r="F69" s="12">
        <f>COUNTIFS(Table1[Section], "F&amp;C", Table1[Capacity ],"Partial capacity")</f>
        <v>0</v>
      </c>
      <c r="G69" s="12">
        <f>COUNTIFS(Table1[Section], "F&amp;C", Table1[Capacity ],"Implemented capacity")</f>
        <v>0</v>
      </c>
      <c r="H69" s="26">
        <f>SUM(B69:D69)</f>
        <v>0</v>
      </c>
      <c r="I69" s="14">
        <f>27*2</f>
        <v>54</v>
      </c>
    </row>
    <row r="70" spans="1:9">
      <c r="A70" s="20" t="s">
        <v>83</v>
      </c>
      <c r="B70" s="11">
        <f>E70*0</f>
        <v>0</v>
      </c>
      <c r="C70" s="11">
        <f>F70*1</f>
        <v>0</v>
      </c>
      <c r="D70" s="11">
        <f>G70*2</f>
        <v>0</v>
      </c>
      <c r="E70" s="12">
        <f>COUNTIFS(Table1[Section], "RRT", Table1[Capacity ],"No capacity")</f>
        <v>0</v>
      </c>
      <c r="F70" s="12">
        <f>COUNTIFS(Table1[Section], "RRT", Table1[Capacity ],"Partial capacity")</f>
        <v>0</v>
      </c>
      <c r="G70" s="12">
        <f>COUNTIFS(Table1[Section], "RRT", Table1[Capacity ], "Implemented capacity")</f>
        <v>0</v>
      </c>
      <c r="H70" s="26">
        <f>SUM(B70:D70)</f>
        <v>0</v>
      </c>
      <c r="I70" s="14">
        <f>44*2</f>
        <v>88</v>
      </c>
    </row>
    <row r="71" spans="1:9">
      <c r="A71" s="20" t="s">
        <v>29</v>
      </c>
      <c r="B71" s="11">
        <f>E71*0</f>
        <v>0</v>
      </c>
      <c r="C71" s="11">
        <f>F71*1</f>
        <v>0</v>
      </c>
      <c r="D71" s="11">
        <f>G71*2</f>
        <v>0</v>
      </c>
      <c r="E71" s="12">
        <f>COUNTIFS(Table1[Section], "EMT", Table1[Capacity ],"No capacity")</f>
        <v>0</v>
      </c>
      <c r="F71" s="12">
        <f>COUNTIFS(Table1[Section], "EMT", Table1[Capacity ],"Partial capacity")</f>
        <v>0</v>
      </c>
      <c r="G71" s="12">
        <f>COUNTIFS(Table1[Section], "EMT",Table1[Capacity ],"Implemented capacity")</f>
        <v>0</v>
      </c>
      <c r="H71" s="26">
        <f>SUM(B71:D71)</f>
        <v>0</v>
      </c>
      <c r="I71" s="14">
        <f>44*2</f>
        <v>88</v>
      </c>
    </row>
    <row r="72" spans="1:9">
      <c r="A72" s="21" t="s">
        <v>126</v>
      </c>
      <c r="B72" s="11">
        <f>E72*0</f>
        <v>0</v>
      </c>
      <c r="C72" s="11">
        <f>F72*1</f>
        <v>0</v>
      </c>
      <c r="D72" s="11">
        <f>G72*2</f>
        <v>0</v>
      </c>
      <c r="E72" s="12">
        <f>COUNTIFS(Table1[Section], "EOC/IMS", Table1[Capacity ],"No capacity")</f>
        <v>0</v>
      </c>
      <c r="F72" s="12">
        <f>COUNTIFS(Table1[Section], "EOC/IMS",Table1[Capacity ],"Partial capacity")</f>
        <v>0</v>
      </c>
      <c r="G72" s="12">
        <f>COUNTIFS(Table1[Section], "EOC/IMS", Table1[Capacity ],"Implemented capacity")</f>
        <v>0</v>
      </c>
      <c r="H72" s="27">
        <f>SUM(B72:D72)</f>
        <v>0</v>
      </c>
      <c r="I72" s="30">
        <f>20*2</f>
        <v>40</v>
      </c>
    </row>
    <row r="73" spans="1:9">
      <c r="A73" s="20"/>
      <c r="B73" s="52" t="s">
        <v>127</v>
      </c>
      <c r="C73" s="52"/>
      <c r="D73" s="52"/>
      <c r="E73" s="52" t="s">
        <v>128</v>
      </c>
      <c r="F73" s="52"/>
      <c r="G73" s="52"/>
      <c r="H73" s="18"/>
      <c r="I73" s="14"/>
    </row>
    <row r="74" spans="1:9">
      <c r="A74" s="19" t="s">
        <v>122</v>
      </c>
      <c r="B74" s="11" t="s">
        <v>5</v>
      </c>
      <c r="C74" s="11" t="s">
        <v>9</v>
      </c>
      <c r="D74" s="11" t="s">
        <v>12</v>
      </c>
      <c r="E74" s="12" t="s">
        <v>6</v>
      </c>
      <c r="F74" s="11" t="s">
        <v>10</v>
      </c>
      <c r="G74" s="11" t="s">
        <v>13</v>
      </c>
      <c r="H74" s="11" t="s">
        <v>123</v>
      </c>
      <c r="I74" s="29" t="s">
        <v>124</v>
      </c>
    </row>
    <row r="75" spans="1:9">
      <c r="A75" s="20" t="s">
        <v>125</v>
      </c>
      <c r="B75" s="11">
        <f>E75*0</f>
        <v>0</v>
      </c>
      <c r="C75" s="11">
        <f>F75*1</f>
        <v>0</v>
      </c>
      <c r="D75" s="11">
        <f>G75*2</f>
        <v>0</v>
      </c>
      <c r="E75" s="12">
        <f>COUNTIFS(Table1[Section], "F&amp;C", Table1[Operational Status ], "Not operational")</f>
        <v>0</v>
      </c>
      <c r="F75" s="12">
        <f>COUNTIFS(Table1[Section], "F&amp;C", Table1[Operational Status ], "Limited operational functions")</f>
        <v>0</v>
      </c>
      <c r="G75" s="12">
        <f>COUNTIFS(Table1[Section], "F&amp;C", Table1[Operational Status ], "Fully Operational")</f>
        <v>0</v>
      </c>
      <c r="H75" s="26">
        <f>SUM(B75:D75)</f>
        <v>0</v>
      </c>
      <c r="I75" s="14">
        <f>27*2</f>
        <v>54</v>
      </c>
    </row>
    <row r="76" spans="1:9">
      <c r="A76" s="20" t="s">
        <v>83</v>
      </c>
      <c r="B76" s="11">
        <f>E76*0</f>
        <v>0</v>
      </c>
      <c r="C76" s="11">
        <f>F76*1</f>
        <v>0</v>
      </c>
      <c r="D76" s="11">
        <f>G76*2</f>
        <v>0</v>
      </c>
      <c r="E76" s="12">
        <f>COUNTIFS(Table1[Section], "RRT", Table1[Operational Status ], "Not operational")</f>
        <v>0</v>
      </c>
      <c r="F76" s="12">
        <f>COUNTIFS(Table1[Section], "RRT", Table1[Operational Status ],"Limited operational functions")</f>
        <v>0</v>
      </c>
      <c r="G76" s="12">
        <f>COUNTIFS(Table1[Section], "RRT", Table1[Operational Status ], "Fully operational")</f>
        <v>0</v>
      </c>
      <c r="H76" s="26">
        <f>SUM(B76:D76)</f>
        <v>0</v>
      </c>
      <c r="I76" s="14">
        <f>44*2</f>
        <v>88</v>
      </c>
    </row>
    <row r="77" spans="1:9">
      <c r="A77" s="20" t="s">
        <v>29</v>
      </c>
      <c r="B77" s="11">
        <f>E77*0</f>
        <v>0</v>
      </c>
      <c r="C77" s="11">
        <f>F77*1</f>
        <v>0</v>
      </c>
      <c r="D77" s="11">
        <f>G77*2</f>
        <v>0</v>
      </c>
      <c r="E77" s="12">
        <f>COUNTIFS(Table1[Section], "EMT", Table1[Operational Status ], "Not operational")</f>
        <v>0</v>
      </c>
      <c r="F77" s="12">
        <f>COUNTIFS(Table1[Section], "EMT", Table1[Operational Status ],"Limited operational functions")</f>
        <v>0</v>
      </c>
      <c r="G77" s="12">
        <f>COUNTIFS(Table1[Section], "EMT", Table1[Operational Status ],"Fully operational")</f>
        <v>0</v>
      </c>
      <c r="H77" s="26">
        <f>SUM(B77:D77)</f>
        <v>0</v>
      </c>
      <c r="I77" s="14">
        <f>44*2</f>
        <v>88</v>
      </c>
    </row>
    <row r="78" spans="1:9">
      <c r="A78" s="21" t="s">
        <v>126</v>
      </c>
      <c r="B78" s="11">
        <f>E78*0</f>
        <v>0</v>
      </c>
      <c r="C78" s="11">
        <f>F78*1</f>
        <v>0</v>
      </c>
      <c r="D78" s="11">
        <f>G78*2</f>
        <v>0</v>
      </c>
      <c r="E78" s="12">
        <f>COUNTIFS(Table1[Section], "EOC/IMS", Table1[Operational Status ], "Not operational")</f>
        <v>0</v>
      </c>
      <c r="F78" s="12">
        <f>COUNTIFS(Table1[Section], "EOC/IMS", Table1[Operational Status ], "Limited operational functions")</f>
        <v>0</v>
      </c>
      <c r="G78" s="12">
        <f>COUNTIFS(Table1[Section], "EOC/IMS", Table1[Operational Status ], "Fully operational")</f>
        <v>0</v>
      </c>
      <c r="H78" s="27">
        <f>SUM(B78:D78)</f>
        <v>0</v>
      </c>
      <c r="I78" s="30">
        <f>20*2</f>
        <v>40</v>
      </c>
    </row>
    <row r="79" spans="1:9">
      <c r="A79" s="20"/>
      <c r="B79" s="13" t="s">
        <v>1</v>
      </c>
      <c r="C79" s="31" t="s">
        <v>128</v>
      </c>
      <c r="D79" s="18"/>
      <c r="E79" s="18"/>
      <c r="F79" s="18"/>
      <c r="G79" s="18"/>
      <c r="H79" s="18"/>
      <c r="I79" s="14"/>
    </row>
    <row r="80" spans="1:9">
      <c r="A80" s="20" t="s">
        <v>129</v>
      </c>
      <c r="B80" s="16">
        <f>H69/I69</f>
        <v>0</v>
      </c>
      <c r="C80" s="16">
        <f>H75/I75</f>
        <v>0</v>
      </c>
      <c r="D80" s="18"/>
      <c r="E80" s="18"/>
      <c r="F80" s="18"/>
      <c r="G80" s="18"/>
      <c r="H80" s="18"/>
      <c r="I80" s="14"/>
    </row>
    <row r="81" spans="1:11">
      <c r="A81" s="20" t="s">
        <v>130</v>
      </c>
      <c r="B81" s="16">
        <f>H70/I70</f>
        <v>0</v>
      </c>
      <c r="C81" s="16">
        <f>H76/I76</f>
        <v>0</v>
      </c>
      <c r="D81" s="18"/>
      <c r="E81" s="18"/>
      <c r="F81" s="18"/>
      <c r="G81" s="18"/>
      <c r="H81" s="18"/>
      <c r="I81" s="14"/>
    </row>
    <row r="82" spans="1:11">
      <c r="A82" s="20" t="s">
        <v>131</v>
      </c>
      <c r="B82" s="16">
        <f>H71/I71</f>
        <v>0</v>
      </c>
      <c r="C82" s="16">
        <f>H77/I77</f>
        <v>0</v>
      </c>
      <c r="D82" s="18"/>
      <c r="E82" s="18"/>
      <c r="F82" s="18"/>
      <c r="G82" s="18"/>
      <c r="H82" s="18"/>
      <c r="I82" s="14"/>
    </row>
    <row r="83" spans="1:11" ht="15" thickBot="1">
      <c r="A83" s="22" t="s">
        <v>132</v>
      </c>
      <c r="B83" s="23">
        <f>H72/I72</f>
        <v>0</v>
      </c>
      <c r="C83" s="23">
        <f>H78/I78</f>
        <v>0</v>
      </c>
      <c r="D83" s="24"/>
      <c r="E83" s="24"/>
      <c r="F83" s="24"/>
      <c r="G83" s="24"/>
      <c r="H83" s="24"/>
      <c r="I83" s="15"/>
    </row>
    <row r="85" spans="1:11" ht="15" thickBot="1"/>
    <row r="86" spans="1:11" ht="18.95" thickBot="1">
      <c r="A86" s="60" t="s">
        <v>133</v>
      </c>
      <c r="B86" s="61"/>
      <c r="C86" s="61"/>
      <c r="D86" s="61"/>
      <c r="E86" s="61"/>
      <c r="F86" s="61"/>
      <c r="G86" s="61"/>
      <c r="H86" s="61"/>
      <c r="I86" s="61"/>
      <c r="J86" s="61"/>
      <c r="K86" s="62"/>
    </row>
    <row r="87" spans="1:11">
      <c r="A87" s="33"/>
      <c r="C87" s="56" t="s">
        <v>121</v>
      </c>
      <c r="D87" s="56"/>
      <c r="E87" s="56"/>
      <c r="F87" s="56" t="s">
        <v>1</v>
      </c>
      <c r="G87" s="56"/>
      <c r="H87" s="56"/>
      <c r="I87" s="56" t="s">
        <v>134</v>
      </c>
      <c r="J87" s="56"/>
      <c r="K87" s="59"/>
    </row>
    <row r="88" spans="1:11">
      <c r="A88" s="19" t="s">
        <v>19</v>
      </c>
      <c r="B88" s="10" t="s">
        <v>20</v>
      </c>
      <c r="C88" s="11" t="s">
        <v>5</v>
      </c>
      <c r="D88" s="11" t="s">
        <v>9</v>
      </c>
      <c r="E88" s="11" t="s">
        <v>12</v>
      </c>
      <c r="F88" s="11" t="s">
        <v>5</v>
      </c>
      <c r="G88" s="11" t="s">
        <v>9</v>
      </c>
      <c r="H88" s="11" t="s">
        <v>12</v>
      </c>
      <c r="I88" s="11" t="s">
        <v>123</v>
      </c>
      <c r="J88" s="11" t="s">
        <v>124</v>
      </c>
      <c r="K88" s="29" t="s">
        <v>135</v>
      </c>
    </row>
    <row r="89" spans="1:11">
      <c r="A89" s="39" t="s">
        <v>129</v>
      </c>
      <c r="B89" s="7" t="s">
        <v>136</v>
      </c>
      <c r="C89">
        <f>F89*0</f>
        <v>0</v>
      </c>
      <c r="D89">
        <f>G89*1</f>
        <v>0</v>
      </c>
      <c r="E89">
        <f>H89*2</f>
        <v>0</v>
      </c>
      <c r="F89">
        <f>COUNTIFS(Table1[Section], "F&amp;C", Table1[SubSection], "Planning", Table1[Capacity ], "No capacity")</f>
        <v>0</v>
      </c>
      <c r="G89">
        <f>COUNTIFS(Table1[Section], "F&amp;C", Table1[SubSection], "Planning", Table1[Capacity ], "Partial capacity")</f>
        <v>0</v>
      </c>
      <c r="H89">
        <f>COUNTIFS(Table1[Section], "F&amp;C", Table1[SubSection], "Planning", Table1[Capacity ], "Implemented capacity")</f>
        <v>0</v>
      </c>
      <c r="I89">
        <f>SUM(C89:E89)</f>
        <v>0</v>
      </c>
      <c r="J89">
        <f>12*2</f>
        <v>24</v>
      </c>
      <c r="K89" s="34">
        <f t="shared" ref="K89:K112" si="0">I89/J89</f>
        <v>0</v>
      </c>
    </row>
    <row r="90" spans="1:11" ht="54" customHeight="1">
      <c r="A90" s="33"/>
      <c r="B90" s="7" t="s">
        <v>137</v>
      </c>
      <c r="C90">
        <f t="shared" ref="C90:C113" si="1">F90*0</f>
        <v>0</v>
      </c>
      <c r="D90">
        <f t="shared" ref="D90:D113" si="2">G90*1</f>
        <v>0</v>
      </c>
      <c r="E90">
        <f t="shared" ref="E90:E113" si="3">H90*2</f>
        <v>0</v>
      </c>
      <c r="F90">
        <f>COUNTIFS(Table1[Section], "F&amp;C", Table1[SubSection], "Stakeholder Engagement and Coordination Mechanisms", Table1[Capacity ], "No capacity")</f>
        <v>0</v>
      </c>
      <c r="G90">
        <f>COUNTIFS(Table1[Section], "F&amp;C", Table1[SubSection], "Stakeholder Engagement and Coordination Mechanisms", Table1[Capacity ], "Partial capacity")</f>
        <v>0</v>
      </c>
      <c r="H90">
        <f>COUNTIFS(Table1[Section], "F&amp;C", Table1[SubSection], "Stakeholder Engagement and Coordination Mechanisms", Table1[Capacity ], "Implemented capacity")</f>
        <v>0</v>
      </c>
      <c r="I90">
        <f t="shared" ref="I90:I112" si="4">SUM(C90:E90)</f>
        <v>0</v>
      </c>
      <c r="J90">
        <f>8*2</f>
        <v>16</v>
      </c>
      <c r="K90" s="34">
        <f t="shared" si="0"/>
        <v>0</v>
      </c>
    </row>
    <row r="91" spans="1:11">
      <c r="A91" s="33"/>
      <c r="B91" s="7" t="s">
        <v>138</v>
      </c>
      <c r="C91">
        <f t="shared" si="1"/>
        <v>0</v>
      </c>
      <c r="D91">
        <f t="shared" si="2"/>
        <v>0</v>
      </c>
      <c r="E91">
        <f t="shared" si="3"/>
        <v>0</v>
      </c>
      <c r="F91">
        <f>COUNTIFS(Table1[Section], "F&amp;C", Table1[SubSection], "Reporting", Table1[Capacity ], "No capacity")</f>
        <v>0</v>
      </c>
      <c r="G91">
        <f>COUNTIFS(Table1[Section], "F&amp;C", Table1[SubSection], "Reporting", Table1[Capacity ], "Partial capacity")</f>
        <v>0</v>
      </c>
      <c r="H91">
        <f>COUNTIFS(Table1[Section], "F&amp;C", Table1[SubSection], "Reporting", Table1[Capacity ], "Implemented capacity")</f>
        <v>0</v>
      </c>
      <c r="I91">
        <f t="shared" si="4"/>
        <v>0</v>
      </c>
      <c r="J91">
        <f>2*2</f>
        <v>4</v>
      </c>
      <c r="K91" s="34">
        <f t="shared" si="0"/>
        <v>0</v>
      </c>
    </row>
    <row r="92" spans="1:11">
      <c r="A92" s="33"/>
      <c r="B92" s="7" t="s">
        <v>139</v>
      </c>
      <c r="C92">
        <f t="shared" ref="C92" si="5">F92*0</f>
        <v>0</v>
      </c>
      <c r="D92">
        <f t="shared" ref="D92" si="6">G92*1</f>
        <v>0</v>
      </c>
      <c r="E92">
        <f t="shared" ref="E92" si="7">H92*2</f>
        <v>0</v>
      </c>
      <c r="F92">
        <f>COUNTIFS(Table1[Section], "F&amp;C", Table1[SubSection], "Financing", Table1[Capacity ], "No capacity")</f>
        <v>0</v>
      </c>
      <c r="G92">
        <f>COUNTIFS(Table1[Section], "F&amp;C", Table1[SubSection], "Financing", Table1[Capacity ], "Partial capacity")</f>
        <v>0</v>
      </c>
      <c r="H92">
        <f>COUNTIFS(Table1[Section], "F&amp;C", Table1[SubSection], "Financing", Table1[Capacity ], "Implemented capacity")</f>
        <v>0</v>
      </c>
      <c r="I92">
        <f t="shared" ref="I92" si="8">SUM(C92:E92)</f>
        <v>0</v>
      </c>
      <c r="J92">
        <f>2*2</f>
        <v>4</v>
      </c>
      <c r="K92" s="34">
        <f t="shared" si="0"/>
        <v>0</v>
      </c>
    </row>
    <row r="93" spans="1:11" ht="26.1">
      <c r="A93" s="33"/>
      <c r="B93" s="7" t="s">
        <v>79</v>
      </c>
      <c r="C93">
        <f t="shared" si="1"/>
        <v>0</v>
      </c>
      <c r="D93">
        <f t="shared" si="2"/>
        <v>0</v>
      </c>
      <c r="E93">
        <f t="shared" si="3"/>
        <v>0</v>
      </c>
      <c r="F93">
        <f>COUNTIFS(Table1[Section], "F&amp;C", Table1[SubSection], "Cross-Border Considerations", Table1[Capacity ], "No capacity")</f>
        <v>0</v>
      </c>
      <c r="G93">
        <f>COUNTIFS(Table1[Section], "F&amp;C", Table1[SubSection], "Cross-Border Considerations", Table1[Capacity ], "Partial capacity")</f>
        <v>0</v>
      </c>
      <c r="H93">
        <f>COUNTIFS(Table1[Section], "F&amp;C", Table1[SubSection], "Cross-Border Considerations", Table1[Capacity ], "Implemented capacity")</f>
        <v>0</v>
      </c>
      <c r="I93">
        <f t="shared" si="4"/>
        <v>0</v>
      </c>
      <c r="J93">
        <f>3*2</f>
        <v>6</v>
      </c>
      <c r="K93" s="34">
        <f t="shared" si="0"/>
        <v>0</v>
      </c>
    </row>
    <row r="94" spans="1:11">
      <c r="A94" s="33" t="s">
        <v>140</v>
      </c>
      <c r="B94" s="7" t="s">
        <v>141</v>
      </c>
      <c r="C94">
        <f t="shared" si="1"/>
        <v>0</v>
      </c>
      <c r="D94">
        <f t="shared" si="2"/>
        <v>0</v>
      </c>
      <c r="E94">
        <f t="shared" si="3"/>
        <v>0</v>
      </c>
      <c r="F94">
        <f>COUNTIFS(Table1[Section], "EOC/IMS", Table1[SubSection], "IMS-Mgmt", Table1[Capacity ], "No capacity")</f>
        <v>0</v>
      </c>
      <c r="G94">
        <f>COUNTIFS(Table1[Section], "EOC/IMS", Table1[SubSection], "IMS-Mgmt", Table1[Capacity ], "Partial capacity")</f>
        <v>0</v>
      </c>
      <c r="H94">
        <f>COUNTIFS(Table1[Section], "EOC/IMS", Table1[SubSection], "IMS-Mgmt", Table1[Capacity ], "Implemented capacity")</f>
        <v>0</v>
      </c>
      <c r="I94">
        <f t="shared" si="4"/>
        <v>0</v>
      </c>
      <c r="J94">
        <f t="shared" ref="J94" si="9">2*2</f>
        <v>4</v>
      </c>
      <c r="K94" s="34">
        <f t="shared" si="0"/>
        <v>0</v>
      </c>
    </row>
    <row r="95" spans="1:11">
      <c r="A95" s="33"/>
      <c r="B95" s="7" t="s">
        <v>142</v>
      </c>
      <c r="C95">
        <f t="shared" si="1"/>
        <v>0</v>
      </c>
      <c r="D95">
        <f t="shared" si="2"/>
        <v>0</v>
      </c>
      <c r="E95">
        <f t="shared" si="3"/>
        <v>0</v>
      </c>
      <c r="F95">
        <f>COUNTIFS(Table1[Section], "EOC/IMS", Table1[SubSection], "IMS-Staff/HR", Table1[Capacity ], "No capacity")</f>
        <v>0</v>
      </c>
      <c r="G95">
        <f>COUNTIFS(Table1[Section], "EOC/IMS", Table1[SubSection], "IMS-Staff/HR", Table1[Capacity ], "Partial capacity")</f>
        <v>0</v>
      </c>
      <c r="H95">
        <f>COUNTIFS(Table1[Section], "EOC/IMS", Table1[SubSection], "IMS-Staff/HR", Table1[Capacity ], "Implemented capacity")</f>
        <v>0</v>
      </c>
      <c r="I95">
        <f t="shared" si="4"/>
        <v>0</v>
      </c>
      <c r="J95">
        <f>6*2</f>
        <v>12</v>
      </c>
      <c r="K95" s="34">
        <f t="shared" si="0"/>
        <v>0</v>
      </c>
    </row>
    <row r="96" spans="1:11">
      <c r="A96" s="33" t="s">
        <v>143</v>
      </c>
      <c r="B96" s="7" t="s">
        <v>143</v>
      </c>
      <c r="C96">
        <f t="shared" si="1"/>
        <v>0</v>
      </c>
      <c r="D96">
        <f t="shared" si="2"/>
        <v>0</v>
      </c>
      <c r="E96">
        <f t="shared" si="3"/>
        <v>0</v>
      </c>
      <c r="F96">
        <f>COUNTIFS(Table1[Section], "EOC/IMS", Table1[SubSection], "EOC", Table1[Capacity ], "No capacity")</f>
        <v>0</v>
      </c>
      <c r="G96">
        <f>COUNTIFS(Table1[Section], "EOC/IMS", Table1[SubSection], "EOC", Table1[Capacity ], "Partial capacity")</f>
        <v>0</v>
      </c>
      <c r="H96">
        <f>COUNTIFS(Table1[Section], "EOC/IMS", Table1[SubSection], "EOC", Table1[Capacity ], "Implemented capacity")</f>
        <v>0</v>
      </c>
      <c r="I96">
        <f t="shared" si="4"/>
        <v>0</v>
      </c>
      <c r="J96">
        <f>12*2</f>
        <v>24</v>
      </c>
      <c r="K96" s="34">
        <f t="shared" si="0"/>
        <v>0</v>
      </c>
    </row>
    <row r="97" spans="1:11">
      <c r="A97" s="33" t="s">
        <v>29</v>
      </c>
      <c r="B97" s="7" t="s">
        <v>136</v>
      </c>
      <c r="C97">
        <f t="shared" si="1"/>
        <v>0</v>
      </c>
      <c r="D97">
        <f t="shared" si="2"/>
        <v>0</v>
      </c>
      <c r="E97">
        <f t="shared" si="3"/>
        <v>0</v>
      </c>
      <c r="F97">
        <f>COUNTIFS(Table1[Section], "EMT", Table1[SubSection], "Plans and Processes", Table1[Capacity ], "No capacity")</f>
        <v>0</v>
      </c>
      <c r="G97">
        <f>COUNTIFS(Table1[Section], "EMT", Table1[SubSection], "Plans and Processes", Table1[Capacity ], "Partial capacity")</f>
        <v>0</v>
      </c>
      <c r="H97">
        <f>COUNTIFS(Table1[Section], "EMT", Table1[SubSection], "Plans and Processes", Table1[Capacity ], "Implemented capacity")</f>
        <v>0</v>
      </c>
      <c r="I97">
        <f t="shared" si="4"/>
        <v>0</v>
      </c>
      <c r="J97">
        <f>8*2</f>
        <v>16</v>
      </c>
      <c r="K97" s="34">
        <f t="shared" si="0"/>
        <v>0</v>
      </c>
    </row>
    <row r="98" spans="1:11" ht="26.1">
      <c r="A98" s="33"/>
      <c r="B98" s="7" t="s">
        <v>144</v>
      </c>
      <c r="C98">
        <f t="shared" si="1"/>
        <v>0</v>
      </c>
      <c r="D98">
        <f t="shared" si="2"/>
        <v>0</v>
      </c>
      <c r="E98">
        <f t="shared" si="3"/>
        <v>0</v>
      </c>
      <c r="F98">
        <f>COUNTIFS(Table1[Section], "EMT", Table1[SubSection], "Administrative Considerations", Table1[Capacity ], "No capacity")</f>
        <v>0</v>
      </c>
      <c r="G98">
        <f>COUNTIFS(Table1[Section], "EMT", Table1[SubSection], "Administrative Considerations", Table1[Capacity ], "Partial capacity")</f>
        <v>0</v>
      </c>
      <c r="H98">
        <f>COUNTIFS(Table1[Section], "EMT", Table1[SubSection], "Administrative Considerations", Table1[Capacity ], "Implemented capacity")</f>
        <v>0</v>
      </c>
      <c r="I98">
        <f t="shared" si="4"/>
        <v>0</v>
      </c>
      <c r="J98">
        <f>7*2</f>
        <v>14</v>
      </c>
      <c r="K98" s="34">
        <f t="shared" si="0"/>
        <v>0</v>
      </c>
    </row>
    <row r="99" spans="1:11" ht="26.1">
      <c r="A99" s="33"/>
      <c r="B99" s="7" t="s">
        <v>47</v>
      </c>
      <c r="C99">
        <f t="shared" si="1"/>
        <v>0</v>
      </c>
      <c r="D99">
        <f t="shared" si="2"/>
        <v>0</v>
      </c>
      <c r="E99">
        <f t="shared" si="3"/>
        <v>0</v>
      </c>
      <c r="F99">
        <f>COUNTIFS(Table1[Section], "EMT", Table1[SubSection], "Staffing and Rostering", Table1[Capacity ], "No capacity")</f>
        <v>0</v>
      </c>
      <c r="G99">
        <f>COUNTIFS(Table1[Section], "EMT", Table1[SubSection], "Staffing and Rostering", Table1[Capacity ], "Partial capacity")</f>
        <v>0</v>
      </c>
      <c r="H99">
        <f>COUNTIFS(Table1[Section], "EMT", Table1[SubSection], "Staffing and Rostering", Table1[Capacity ], "Implemented capacity")</f>
        <v>0</v>
      </c>
      <c r="I99">
        <f t="shared" si="4"/>
        <v>0</v>
      </c>
      <c r="J99">
        <f>5*2</f>
        <v>10</v>
      </c>
      <c r="K99" s="34">
        <f t="shared" si="0"/>
        <v>0</v>
      </c>
    </row>
    <row r="100" spans="1:11">
      <c r="A100" s="33"/>
      <c r="B100" s="7" t="s">
        <v>53</v>
      </c>
      <c r="C100">
        <f t="shared" ref="C100:C105" si="10">F100*0</f>
        <v>0</v>
      </c>
      <c r="D100">
        <f t="shared" ref="D100:D105" si="11">G100*1</f>
        <v>0</v>
      </c>
      <c r="E100">
        <f t="shared" ref="E100:E105" si="12">H100*2</f>
        <v>0</v>
      </c>
      <c r="F100">
        <f>COUNTIFS(Table1[Section], "EMT", Table1[SubSection], "Training Program", Table1[Capacity ], "No capacity")</f>
        <v>0</v>
      </c>
      <c r="G100">
        <f>COUNTIFS(Table1[Section], "EMT", Table1[SubSection], "Training Program", Table1[Capacity ], "Partial capacity")</f>
        <v>0</v>
      </c>
      <c r="H100">
        <f>COUNTIFS(Table1[Section], "EMT", Table1[SubSection], "Training Program", Table1[Capacity ], "Implemented capacity")</f>
        <v>0</v>
      </c>
      <c r="I100">
        <f t="shared" si="4"/>
        <v>0</v>
      </c>
      <c r="J100">
        <f>4*2</f>
        <v>8</v>
      </c>
      <c r="K100" s="34">
        <f t="shared" si="0"/>
        <v>0</v>
      </c>
    </row>
    <row r="101" spans="1:11" ht="26.1">
      <c r="A101" s="33"/>
      <c r="B101" s="7" t="s">
        <v>58</v>
      </c>
      <c r="C101">
        <f t="shared" si="10"/>
        <v>0</v>
      </c>
      <c r="D101">
        <f t="shared" si="11"/>
        <v>0</v>
      </c>
      <c r="E101">
        <f t="shared" si="12"/>
        <v>0</v>
      </c>
      <c r="F101">
        <f>COUNTIFS(Table1[Section], "EMT", Table1[SubSection], "Activation and Pre-Deployment", Table1[Capacity ], "No capacity")</f>
        <v>0</v>
      </c>
      <c r="G101">
        <f>COUNTIFS(Table1[Section], "EMT", Table1[SubSection], "Activation and Pre-Deployment", Table1[Capacity ], "Partial capacity")</f>
        <v>0</v>
      </c>
      <c r="H101">
        <f>COUNTIFS(Table1[Section], "EMT", Table1[SubSection], "Activation and Pre-Deployment", Table1[Capacity ], "Implemented capacity")</f>
        <v>0</v>
      </c>
      <c r="I101">
        <f t="shared" si="4"/>
        <v>0</v>
      </c>
      <c r="J101">
        <f>4*2</f>
        <v>8</v>
      </c>
      <c r="K101" s="34">
        <f t="shared" si="0"/>
        <v>0</v>
      </c>
    </row>
    <row r="102" spans="1:11">
      <c r="A102" s="33"/>
      <c r="B102" s="7" t="s">
        <v>63</v>
      </c>
      <c r="C102">
        <f t="shared" si="10"/>
        <v>0</v>
      </c>
      <c r="D102">
        <f t="shared" si="11"/>
        <v>0</v>
      </c>
      <c r="E102">
        <f t="shared" si="12"/>
        <v>0</v>
      </c>
      <c r="F102">
        <f>COUNTIFS(Table1[Section], "EMT", Table1[SubSection], "Deployment", Table1[Capacity ], "No capacity")</f>
        <v>0</v>
      </c>
      <c r="G102">
        <f>COUNTIFS(Table1[Section], "EMT", Table1[SubSection], "Deployment", Table1[Capacity ], "Partial capacity")</f>
        <v>0</v>
      </c>
      <c r="H102">
        <f>COUNTIFS(Table1[Section], "EMT", Table1[SubSection], "Deployment", Table1[Capacity ], "Implemented capacity")</f>
        <v>0</v>
      </c>
      <c r="I102">
        <f t="shared" si="4"/>
        <v>0</v>
      </c>
      <c r="J102">
        <f>6*2</f>
        <v>12</v>
      </c>
      <c r="K102" s="34">
        <f t="shared" si="0"/>
        <v>0</v>
      </c>
    </row>
    <row r="103" spans="1:11">
      <c r="A103" s="33"/>
      <c r="B103" s="7" t="s">
        <v>70</v>
      </c>
      <c r="C103">
        <f t="shared" si="10"/>
        <v>0</v>
      </c>
      <c r="D103">
        <f t="shared" si="11"/>
        <v>0</v>
      </c>
      <c r="E103">
        <f t="shared" si="12"/>
        <v>0</v>
      </c>
      <c r="F103">
        <f>COUNTIFS(Table1[Section], "EMT", Table1[SubSection], "Post-Deployment", Table1[Capacity ], "No capacity")</f>
        <v>0</v>
      </c>
      <c r="G103">
        <f>COUNTIFS(Table1[Section], "EMT", Table1[SubSection], "Post-Deployment", Table1[Capacity ], "Partial capacity")</f>
        <v>0</v>
      </c>
      <c r="H103">
        <f>COUNTIFS(Table1[Section], "EMT", Table1[SubSection], "Post-Deployment", Table1[Capacity ], "Implemented capacity")</f>
        <v>0</v>
      </c>
      <c r="I103">
        <f t="shared" si="4"/>
        <v>0</v>
      </c>
      <c r="J103">
        <f>3*2</f>
        <v>6</v>
      </c>
      <c r="K103" s="34">
        <f t="shared" si="0"/>
        <v>0</v>
      </c>
    </row>
    <row r="104" spans="1:11" ht="26.1">
      <c r="A104" s="33"/>
      <c r="B104" s="7" t="s">
        <v>145</v>
      </c>
      <c r="C104">
        <f t="shared" si="10"/>
        <v>0</v>
      </c>
      <c r="D104">
        <f t="shared" si="11"/>
        <v>0</v>
      </c>
      <c r="E104">
        <f t="shared" si="12"/>
        <v>0</v>
      </c>
      <c r="F104">
        <f>COUNTIFS(Table1[Section], "EMT", Table1[SubSection], "Monitoring and Evaluation", Table1[Capacity ], "No capacity")</f>
        <v>0</v>
      </c>
      <c r="G104">
        <f>COUNTIFS(Table1[Section], "EMT", Table1[SubSection], "Monitoring and Evaluation", Table1[Capacity ], "Partial capacity")</f>
        <v>0</v>
      </c>
      <c r="H104">
        <f>COUNTIFS(Table1[Section], "EMT", Table1[SubSection], "Monitoring and Evaluation", Table1[Capacity ], "Implemented capacity")</f>
        <v>0</v>
      </c>
      <c r="I104">
        <f t="shared" si="4"/>
        <v>0</v>
      </c>
      <c r="J104">
        <f>4*2</f>
        <v>8</v>
      </c>
      <c r="K104" s="34">
        <f t="shared" si="0"/>
        <v>0</v>
      </c>
    </row>
    <row r="105" spans="1:11" ht="26.1">
      <c r="A105" s="33"/>
      <c r="B105" s="7" t="s">
        <v>79</v>
      </c>
      <c r="C105">
        <f t="shared" si="10"/>
        <v>0</v>
      </c>
      <c r="D105">
        <f t="shared" si="11"/>
        <v>0</v>
      </c>
      <c r="E105">
        <f t="shared" si="12"/>
        <v>0</v>
      </c>
      <c r="F105">
        <f>COUNTIFS(Table1[Section], "EMT", Table1[SubSection], "Cross-Border Considerations", Table1[Capacity ], "No capacity")</f>
        <v>0</v>
      </c>
      <c r="G105">
        <f>COUNTIFS(Table1[Section], "EMT", Table1[SubSection], "Cross-Border Considerations", Table1[Capacity ], "Partial capacity")</f>
        <v>0</v>
      </c>
      <c r="H105">
        <f>COUNTIFS(Table1[Section], "EMT", Table1[SubSection], "Cross-Border Considerations", Table1[Capacity ], "Implemented capacity")</f>
        <v>0</v>
      </c>
      <c r="I105">
        <f t="shared" si="4"/>
        <v>0</v>
      </c>
      <c r="J105">
        <f>3*2</f>
        <v>6</v>
      </c>
      <c r="K105" s="34">
        <f t="shared" si="0"/>
        <v>0</v>
      </c>
    </row>
    <row r="106" spans="1:11">
      <c r="A106" s="33" t="s">
        <v>83</v>
      </c>
      <c r="B106" s="7" t="s">
        <v>136</v>
      </c>
      <c r="C106">
        <f t="shared" si="1"/>
        <v>0</v>
      </c>
      <c r="D106">
        <f t="shared" si="2"/>
        <v>0</v>
      </c>
      <c r="E106">
        <f t="shared" si="3"/>
        <v>0</v>
      </c>
      <c r="F106">
        <f>COUNTIFS(Table1[Section], "RRT", Table1[SubSection], "Plans and Processes", Table1[Capacity ], "No capacity")</f>
        <v>0</v>
      </c>
      <c r="G106">
        <f>COUNTIFS(Table1[Section], "RRT", Table1[SubSection], "Plans and Processes", Table1[Capacity ], "Partial capacity")</f>
        <v>0</v>
      </c>
      <c r="H106">
        <f>COUNTIFS(Table1[Section], "RRT", Table1[SubSection], "Plans and Processes", Table1[Capacity ], "Implemented capacity")</f>
        <v>0</v>
      </c>
      <c r="I106">
        <f t="shared" si="4"/>
        <v>0</v>
      </c>
      <c r="J106">
        <f>7*2</f>
        <v>14</v>
      </c>
      <c r="K106" s="34">
        <f t="shared" si="0"/>
        <v>0</v>
      </c>
    </row>
    <row r="107" spans="1:11" ht="26.1">
      <c r="A107" s="33"/>
      <c r="B107" s="7" t="s">
        <v>144</v>
      </c>
      <c r="C107">
        <f t="shared" si="1"/>
        <v>0</v>
      </c>
      <c r="D107">
        <f t="shared" si="2"/>
        <v>0</v>
      </c>
      <c r="E107">
        <f t="shared" si="3"/>
        <v>0</v>
      </c>
      <c r="F107">
        <f>COUNTIFS(Table1[Section], "RRT", Table1[SubSection], "Administrative Considerations", Table1[Capacity ], "No capacity")</f>
        <v>0</v>
      </c>
      <c r="G107">
        <f>COUNTIFS(Table1[Section], "RRT", Table1[SubSection], "Administrative Considerations", Table1[Capacity ], "Partial capacity")</f>
        <v>0</v>
      </c>
      <c r="H107">
        <f>COUNTIFS(Table1[Section], "RRT", Table1[SubSection], "Administrative Considerations", Table1[Capacity ], "Implemented capacity")</f>
        <v>0</v>
      </c>
      <c r="I107">
        <f t="shared" si="4"/>
        <v>0</v>
      </c>
      <c r="J107">
        <f>6*2</f>
        <v>12</v>
      </c>
      <c r="K107" s="34">
        <f t="shared" si="0"/>
        <v>0</v>
      </c>
    </row>
    <row r="108" spans="1:11" ht="26.1">
      <c r="A108" s="33"/>
      <c r="B108" s="7" t="s">
        <v>47</v>
      </c>
      <c r="C108">
        <f t="shared" si="1"/>
        <v>0</v>
      </c>
      <c r="D108">
        <f t="shared" si="2"/>
        <v>0</v>
      </c>
      <c r="E108">
        <f t="shared" si="3"/>
        <v>0</v>
      </c>
      <c r="F108">
        <f>COUNTIFS(Table1[Section], "RRT", Table1[SubSection], "Staffing and Rostering", Table1[Capacity ], "No capacity")</f>
        <v>0</v>
      </c>
      <c r="G108">
        <f>COUNTIFS(Table1[Section], "RRT", Table1[SubSection], "Staffing and Rostering", Table1[Capacity ], "Partial capacity")</f>
        <v>0</v>
      </c>
      <c r="H108">
        <f>COUNTIFS(Table1[Section], "RRT", Table1[SubSection], "Staffing and Rostering", Table1[Capacity ], "Implemented capacity")</f>
        <v>0</v>
      </c>
      <c r="I108">
        <f t="shared" si="4"/>
        <v>0</v>
      </c>
      <c r="J108">
        <f>3*2</f>
        <v>6</v>
      </c>
      <c r="K108" s="34">
        <f t="shared" si="0"/>
        <v>0</v>
      </c>
    </row>
    <row r="109" spans="1:11">
      <c r="A109" s="33"/>
      <c r="B109" s="7" t="s">
        <v>53</v>
      </c>
      <c r="C109">
        <f t="shared" si="1"/>
        <v>0</v>
      </c>
      <c r="D109">
        <f t="shared" si="2"/>
        <v>0</v>
      </c>
      <c r="E109">
        <f t="shared" si="3"/>
        <v>0</v>
      </c>
      <c r="F109">
        <f>COUNTIFS(Table1[Section], "RRT", Table1[SubSection], "Training Program", Table1[Capacity ], "No capacity")</f>
        <v>0</v>
      </c>
      <c r="G109">
        <f>COUNTIFS(Table1[Section], "RRT", Table1[SubSection],  "Training Program", Table1[Capacity ], "Partial capacity")</f>
        <v>0</v>
      </c>
      <c r="H109">
        <f>COUNTIFS(Table1[Section], "RRT", Table1[SubSection],  "Training Program", Table1[Capacity ], "Implemented capacity")</f>
        <v>0</v>
      </c>
      <c r="I109">
        <f t="shared" si="4"/>
        <v>0</v>
      </c>
      <c r="J109">
        <f>5*2</f>
        <v>10</v>
      </c>
      <c r="K109" s="34">
        <f t="shared" si="0"/>
        <v>0</v>
      </c>
    </row>
    <row r="110" spans="1:11" ht="26.1">
      <c r="A110" s="33"/>
      <c r="B110" s="7" t="s">
        <v>58</v>
      </c>
      <c r="C110">
        <f t="shared" si="1"/>
        <v>0</v>
      </c>
      <c r="D110">
        <f t="shared" si="2"/>
        <v>0</v>
      </c>
      <c r="E110">
        <f t="shared" si="3"/>
        <v>0</v>
      </c>
      <c r="F110">
        <f>COUNTIFS(Table1[Section], "RRT", Table1[SubSection], "Activation and Pre-Deployment", Table1[Capacity ], "No capacity")</f>
        <v>0</v>
      </c>
      <c r="G110">
        <f>COUNTIFS(Table1[Section], "RRT", Table1[SubSection],  "Activation and Pre-Deployment", Table1[Capacity ], "Partial capacity")</f>
        <v>0</v>
      </c>
      <c r="H110">
        <f>COUNTIFS(Table1[Section], "RRT", Table1[SubSection],  "Activation and Pre-Deployment", Table1[Capacity ], "Implemented capacity")</f>
        <v>0</v>
      </c>
      <c r="I110">
        <f t="shared" si="4"/>
        <v>0</v>
      </c>
      <c r="J110">
        <f>5*2</f>
        <v>10</v>
      </c>
      <c r="K110" s="34">
        <f t="shared" si="0"/>
        <v>0</v>
      </c>
    </row>
    <row r="111" spans="1:11">
      <c r="A111" s="33"/>
      <c r="B111" s="7" t="s">
        <v>63</v>
      </c>
      <c r="C111">
        <f t="shared" si="1"/>
        <v>0</v>
      </c>
      <c r="D111">
        <f t="shared" si="2"/>
        <v>0</v>
      </c>
      <c r="E111">
        <f t="shared" si="3"/>
        <v>0</v>
      </c>
      <c r="F111">
        <f>COUNTIFS(Table1[Section], "RRT", Table1[SubSection], "Deployment", Table1[Capacity ], "No capacity")</f>
        <v>0</v>
      </c>
      <c r="G111">
        <f>COUNTIFS(Table1[Section], "RRT", Table1[SubSection], "Deployment", Table1[Capacity ], "Partial capacity")</f>
        <v>0</v>
      </c>
      <c r="H111">
        <f>COUNTIFS(Table1[Section], "RRT", Table1[SubSection], "Deployment", Table1[Capacity ], "Implemented capacity")</f>
        <v>0</v>
      </c>
      <c r="I111">
        <f t="shared" si="4"/>
        <v>0</v>
      </c>
      <c r="J111">
        <f>6*2</f>
        <v>12</v>
      </c>
      <c r="K111" s="34">
        <f t="shared" si="0"/>
        <v>0</v>
      </c>
    </row>
    <row r="112" spans="1:11">
      <c r="A112" s="33"/>
      <c r="B112" s="7" t="s">
        <v>70</v>
      </c>
      <c r="C112">
        <f t="shared" si="1"/>
        <v>0</v>
      </c>
      <c r="D112">
        <f t="shared" si="2"/>
        <v>0</v>
      </c>
      <c r="E112">
        <f t="shared" si="3"/>
        <v>0</v>
      </c>
      <c r="F112">
        <f>COUNTIFS(Table1[Section], "RRT", Table1[SubSection], "Post-Deployment", Table1[Capacity ], "No capacity")</f>
        <v>0</v>
      </c>
      <c r="G112">
        <f>COUNTIFS(Table1[Section], "RRT", Table1[SubSection], "Post-Deployment", Table1[Capacity ], "Partial capacity")</f>
        <v>0</v>
      </c>
      <c r="H112">
        <f>COUNTIFS(Table1[Section], "RRT", Table1[SubSection], "Post-Deployment", Table1[Capacity ], "Implemented capacity")</f>
        <v>0</v>
      </c>
      <c r="I112">
        <f t="shared" si="4"/>
        <v>0</v>
      </c>
      <c r="J112">
        <f>3*2</f>
        <v>6</v>
      </c>
      <c r="K112" s="34">
        <f t="shared" si="0"/>
        <v>0</v>
      </c>
    </row>
    <row r="113" spans="1:11" ht="26.1">
      <c r="A113" s="33"/>
      <c r="B113" s="7" t="s">
        <v>145</v>
      </c>
      <c r="C113">
        <f t="shared" si="1"/>
        <v>0</v>
      </c>
      <c r="D113">
        <f t="shared" si="2"/>
        <v>0</v>
      </c>
      <c r="E113">
        <f t="shared" si="3"/>
        <v>0</v>
      </c>
      <c r="F113">
        <f>COUNTIFS(Table1[Section], "RRT", Table1[SubSection], "Monitoring and Evaluation", Table1[Capacity ], "No capacity")</f>
        <v>0</v>
      </c>
      <c r="G113">
        <f>COUNTIFS(Table1[Section], "RRT", Table1[SubSection], "Monitoring and Evaluation", Table1[Capacity ], "Partial capacity")</f>
        <v>0</v>
      </c>
      <c r="H113">
        <f>COUNTIFS(Table1[Section], "RRT", Table1[SubSection], "Monitoring and Evaluation", Table1[Capacity ], "Implemented capacity")</f>
        <v>0</v>
      </c>
      <c r="I113">
        <f>SUM(C113:E113)</f>
        <v>0</v>
      </c>
      <c r="J113">
        <f>4*2</f>
        <v>8</v>
      </c>
      <c r="K113" s="34">
        <f>I113/J113</f>
        <v>0</v>
      </c>
    </row>
    <row r="114" spans="1:11" ht="26.1">
      <c r="A114" s="33"/>
      <c r="B114" s="7" t="s">
        <v>79</v>
      </c>
      <c r="C114">
        <f t="shared" ref="C114" si="13">F114*0</f>
        <v>0</v>
      </c>
      <c r="D114">
        <f t="shared" ref="D114" si="14">G114*1</f>
        <v>0</v>
      </c>
      <c r="E114">
        <f t="shared" ref="E114" si="15">H114*2</f>
        <v>0</v>
      </c>
      <c r="F114">
        <f>COUNTIFS(Table1[Section], "RRT", Table1[SubSection], "Cross-Border Considerations", Table1[Capacity ], "No capacity")</f>
        <v>0</v>
      </c>
      <c r="G114">
        <f>COUNTIFS(Table1[Section], "RRT", Table1[SubSection], "Cross-Border Considerations", Table1[Capacity ], "Partial capacity")</f>
        <v>0</v>
      </c>
      <c r="H114">
        <f>COUNTIFS(Table1[Section], "RRT", Table1[SubSection], "Cross-Border Considerations", Table1[Capacity ], "Implemented capacity")</f>
        <v>0</v>
      </c>
      <c r="I114">
        <f>SUM(C114:E114)</f>
        <v>0</v>
      </c>
      <c r="J114">
        <f>3*2</f>
        <v>6</v>
      </c>
      <c r="K114" s="34">
        <f>I114/J114</f>
        <v>0</v>
      </c>
    </row>
    <row r="115" spans="1:11">
      <c r="A115" s="33"/>
      <c r="B115" s="7"/>
      <c r="D115" s="18"/>
      <c r="E115" s="18"/>
      <c r="F115" s="18"/>
      <c r="G115" s="18"/>
      <c r="H115" s="18"/>
      <c r="I115" s="18"/>
      <c r="J115" s="18"/>
      <c r="K115" s="34"/>
    </row>
    <row r="116" spans="1:11">
      <c r="A116" s="35"/>
      <c r="B116" s="32"/>
      <c r="C116" s="57" t="s">
        <v>127</v>
      </c>
      <c r="D116" s="57"/>
      <c r="E116" s="57"/>
      <c r="F116" s="57" t="s">
        <v>146</v>
      </c>
      <c r="G116" s="57"/>
      <c r="H116" s="57"/>
      <c r="I116" s="57" t="s">
        <v>134</v>
      </c>
      <c r="J116" s="57"/>
      <c r="K116" s="58"/>
    </row>
    <row r="117" spans="1:11">
      <c r="A117" s="36" t="s">
        <v>19</v>
      </c>
      <c r="B117" s="10" t="s">
        <v>20</v>
      </c>
      <c r="C117" s="10" t="s">
        <v>5</v>
      </c>
      <c r="D117" s="10" t="s">
        <v>9</v>
      </c>
      <c r="E117" s="10" t="s">
        <v>12</v>
      </c>
      <c r="F117" s="11" t="s">
        <v>6</v>
      </c>
      <c r="G117" s="11" t="s">
        <v>10</v>
      </c>
      <c r="H117" s="11" t="s">
        <v>13</v>
      </c>
      <c r="I117" s="10" t="s">
        <v>123</v>
      </c>
      <c r="J117" s="10" t="s">
        <v>124</v>
      </c>
      <c r="K117" s="37" t="s">
        <v>135</v>
      </c>
    </row>
    <row r="118" spans="1:11">
      <c r="A118" s="33" t="s">
        <v>129</v>
      </c>
      <c r="B118" t="s">
        <v>136</v>
      </c>
      <c r="C118">
        <f>F118*0</f>
        <v>0</v>
      </c>
      <c r="D118">
        <f>G118*1</f>
        <v>0</v>
      </c>
      <c r="E118">
        <f>H118*2</f>
        <v>0</v>
      </c>
      <c r="F118">
        <f>COUNTIFS(Table1[Section], "F&amp;C", Table1[SubSection], "Planning", Table1[Operational Status ], "Not operational")</f>
        <v>0</v>
      </c>
      <c r="G118">
        <f>COUNTIFS(Table1[Section], "F&amp;C", Table1[SubSection], "Planning", Table1[Operational Status ], "Limited operational functions")</f>
        <v>0</v>
      </c>
      <c r="H118">
        <f>COUNTIFS(Table1[Section], "F&amp;C", Table1[SubSection], "Planning", Table1[Operational Status ], "Fully operational")</f>
        <v>0</v>
      </c>
      <c r="I118">
        <f>SUM(C118:E118)</f>
        <v>0</v>
      </c>
      <c r="J118">
        <f>12*2</f>
        <v>24</v>
      </c>
      <c r="K118" s="34">
        <f t="shared" ref="K118:K143" si="16">I118/J118</f>
        <v>0</v>
      </c>
    </row>
    <row r="119" spans="1:11">
      <c r="A119" s="33"/>
      <c r="B119" t="s">
        <v>137</v>
      </c>
      <c r="C119">
        <f t="shared" ref="C119:C120" si="17">F119*0</f>
        <v>0</v>
      </c>
      <c r="D119">
        <f t="shared" ref="D119:D120" si="18">G119*1</f>
        <v>0</v>
      </c>
      <c r="E119">
        <f t="shared" ref="E119:E120" si="19">H119*2</f>
        <v>0</v>
      </c>
      <c r="F119">
        <f>COUNTIFS(Table1[Section], "F&amp;C", Table1[SubSection], "Stakeholder Engagement and Coordination Mechanisms", Table1[Operational Status ], "Not operational")</f>
        <v>0</v>
      </c>
      <c r="G119">
        <f>COUNTIFS(Table1[Section], "F&amp;C", Table1[SubSection], "Stakeholder Engagement and Coordination Mechanisms", Table1[Operational Status ], "Limited operational functions")</f>
        <v>0</v>
      </c>
      <c r="H119">
        <f>COUNTIFS(Table1[Section], "F&amp;C", Table1[SubSection], "Stakeholder Engagement and Coordination Mechanisms",Table1[Operational Status ], "Fully operational")</f>
        <v>0</v>
      </c>
      <c r="I119">
        <f t="shared" ref="I119:I121" si="20">SUM(C119:E119)</f>
        <v>0</v>
      </c>
      <c r="J119">
        <f>8*2</f>
        <v>16</v>
      </c>
      <c r="K119" s="34">
        <f t="shared" si="16"/>
        <v>0</v>
      </c>
    </row>
    <row r="120" spans="1:11">
      <c r="A120" s="33"/>
      <c r="B120" t="s">
        <v>138</v>
      </c>
      <c r="C120">
        <f t="shared" si="17"/>
        <v>0</v>
      </c>
      <c r="D120">
        <f t="shared" si="18"/>
        <v>0</v>
      </c>
      <c r="E120">
        <f t="shared" si="19"/>
        <v>0</v>
      </c>
      <c r="F120">
        <f>COUNTIFS(Table1[Section], "F&amp;C", Table1[SubSection], "Reporting",Table1[Operational Status ], "Not operational")</f>
        <v>0</v>
      </c>
      <c r="G120">
        <f>COUNTIFS(Table1[Section], "F&amp;C", Table1[SubSection], "Reporting", Table1[Operational Status ], "Limited operational functions")</f>
        <v>0</v>
      </c>
      <c r="H120">
        <f>COUNTIFS(Table1[Section], "F&amp;C", Table1[SubSection], "Reporting",Table1[Operational Status ], "Fully operational")</f>
        <v>0</v>
      </c>
      <c r="I120">
        <f t="shared" si="20"/>
        <v>0</v>
      </c>
      <c r="J120">
        <f>2*2</f>
        <v>4</v>
      </c>
      <c r="K120" s="34">
        <f t="shared" si="16"/>
        <v>0</v>
      </c>
    </row>
    <row r="121" spans="1:11">
      <c r="A121" s="33"/>
      <c r="B121" t="s">
        <v>139</v>
      </c>
      <c r="C121">
        <f t="shared" ref="C121" si="21">F121*0</f>
        <v>0</v>
      </c>
      <c r="D121">
        <f t="shared" ref="D121" si="22">G121*1</f>
        <v>0</v>
      </c>
      <c r="E121">
        <f t="shared" ref="E121" si="23">H121*2</f>
        <v>0</v>
      </c>
      <c r="F121">
        <f>COUNTIFS(Table1[Section], "F&amp;C", Table1[SubSection], "Financing",Table1[Operational Status ], "Not operational")</f>
        <v>0</v>
      </c>
      <c r="G121">
        <f>COUNTIFS(Table1[Section], "F&amp;C", Table1[SubSection], "Financing", Table1[Operational Status ], "Limited operational functions")</f>
        <v>0</v>
      </c>
      <c r="H121">
        <f>COUNTIFS(Table1[Section], "F&amp;C", Table1[SubSection], "Financing",Table1[Operational Status ], "Fully operational")</f>
        <v>0</v>
      </c>
      <c r="I121">
        <f t="shared" si="20"/>
        <v>0</v>
      </c>
      <c r="J121">
        <f>2*2</f>
        <v>4</v>
      </c>
      <c r="K121" s="34">
        <f t="shared" si="16"/>
        <v>0</v>
      </c>
    </row>
    <row r="122" spans="1:11">
      <c r="A122" s="33"/>
      <c r="B122" t="s">
        <v>147</v>
      </c>
      <c r="C122">
        <f t="shared" ref="C122:C142" si="24">F122*0</f>
        <v>0</v>
      </c>
      <c r="D122">
        <f t="shared" ref="D122:D141" si="25">G122*1</f>
        <v>0</v>
      </c>
      <c r="E122">
        <f t="shared" ref="E122:E141" si="26">H122*2</f>
        <v>0</v>
      </c>
      <c r="F122">
        <f>COUNTIFS(Table1[Section], "F&amp;C", Table1[SubSection], "Cross-Border Considerations",Table1[Operational Status ], "Not operational")</f>
        <v>0</v>
      </c>
      <c r="G122">
        <f>COUNTIFS(Table1[Section], "F&amp;C", Table1[SubSection], "Cross-Border Considerations", Table1[Operational Status ], "Limited operational functions")</f>
        <v>0</v>
      </c>
      <c r="H122">
        <f>COUNTIFS(Table1[Section], "F&amp;C", Table1[SubSection], "Cross-Border Considerations", Table1[Operational Status ], "Fully operational")</f>
        <v>0</v>
      </c>
      <c r="I122">
        <f t="shared" ref="I122:I142" si="27">SUM(C122:E122)</f>
        <v>0</v>
      </c>
      <c r="J122">
        <f>3*2</f>
        <v>6</v>
      </c>
      <c r="K122" s="34">
        <f t="shared" si="16"/>
        <v>0</v>
      </c>
    </row>
    <row r="123" spans="1:11">
      <c r="A123" s="33" t="s">
        <v>140</v>
      </c>
      <c r="B123" t="s">
        <v>141</v>
      </c>
      <c r="C123">
        <f t="shared" si="24"/>
        <v>0</v>
      </c>
      <c r="D123">
        <f t="shared" si="25"/>
        <v>0</v>
      </c>
      <c r="E123">
        <f t="shared" si="26"/>
        <v>0</v>
      </c>
      <c r="F123">
        <f>COUNTIFS(Table1[Section], "EOC/IMS", Table1[SubSection], "IMS-Mgmt", Table1[Operational Status ], "Not operational")</f>
        <v>0</v>
      </c>
      <c r="G123">
        <f>COUNTIFS(Table1[Section], "EOC/IMS", Table1[SubSection], "IMS-Mgmt", Table1[Operational Status ], "Limited operational functions")</f>
        <v>0</v>
      </c>
      <c r="H123">
        <f>COUNTIFS(Table1[Section], "EOC/IMS", Table1[SubSection], "IMS-Mgmt", Table1[Operational Status ], "Fully operational")</f>
        <v>0</v>
      </c>
      <c r="I123">
        <f t="shared" si="27"/>
        <v>0</v>
      </c>
      <c r="J123">
        <f t="shared" ref="J123" si="28">2*2</f>
        <v>4</v>
      </c>
      <c r="K123" s="34">
        <f t="shared" si="16"/>
        <v>0</v>
      </c>
    </row>
    <row r="124" spans="1:11">
      <c r="A124" s="33"/>
      <c r="B124" t="s">
        <v>142</v>
      </c>
      <c r="C124">
        <f t="shared" si="24"/>
        <v>0</v>
      </c>
      <c r="D124">
        <f t="shared" si="25"/>
        <v>0</v>
      </c>
      <c r="E124">
        <f>H124*2</f>
        <v>0</v>
      </c>
      <c r="F124">
        <f>COUNTIFS(Table1[Section], "EOC/IMS", Table1[SubSection], "IMS-Staff/HR", Table1[Operational Status ], "Not operational")</f>
        <v>0</v>
      </c>
      <c r="G124">
        <f>COUNTIFS(Table1[Section], "EOC/IMS", Table1[SubSection], "IMS-Staff/HR", Table1[Operational Status ], "Limited operational functions")</f>
        <v>0</v>
      </c>
      <c r="H124">
        <f>COUNTIFS(Table1[Section], "EOC/IMS", Table1[SubSection], "IMS-Staff/HR", Table1[Operational Status ], "Fully operational")</f>
        <v>0</v>
      </c>
      <c r="I124">
        <f t="shared" si="27"/>
        <v>0</v>
      </c>
      <c r="J124">
        <f>6*2</f>
        <v>12</v>
      </c>
      <c r="K124" s="34">
        <f t="shared" si="16"/>
        <v>0</v>
      </c>
    </row>
    <row r="125" spans="1:11">
      <c r="A125" s="33" t="s">
        <v>143</v>
      </c>
      <c r="B125" t="s">
        <v>143</v>
      </c>
      <c r="C125">
        <f t="shared" si="24"/>
        <v>0</v>
      </c>
      <c r="D125">
        <f t="shared" si="25"/>
        <v>0</v>
      </c>
      <c r="E125">
        <f t="shared" si="26"/>
        <v>0</v>
      </c>
      <c r="F125">
        <f>COUNTIFS(Table1[Section], "EOC/IMS", Table1[SubSection], "EOC", Table1[Operational Status ], "Not operational")</f>
        <v>0</v>
      </c>
      <c r="G125">
        <f>COUNTIFS(Table1[Section], "EOC/IMS", Table1[SubSection], "EOC", Table1[Operational Status ], "Limited operational functions")</f>
        <v>0</v>
      </c>
      <c r="H125">
        <f>COUNTIFS(Table1[Section], "EOC/IMS", Table1[SubSection], "EOC", Table1[Operational Status ], "Fully operational")</f>
        <v>0</v>
      </c>
      <c r="I125">
        <f t="shared" si="27"/>
        <v>0</v>
      </c>
      <c r="J125">
        <f>12*2</f>
        <v>24</v>
      </c>
      <c r="K125" s="34">
        <f t="shared" si="16"/>
        <v>0</v>
      </c>
    </row>
    <row r="126" spans="1:11">
      <c r="A126" s="33" t="s">
        <v>29</v>
      </c>
      <c r="B126" s="7" t="s">
        <v>136</v>
      </c>
      <c r="C126">
        <f t="shared" si="24"/>
        <v>0</v>
      </c>
      <c r="D126">
        <f t="shared" si="25"/>
        <v>0</v>
      </c>
      <c r="E126">
        <f t="shared" si="26"/>
        <v>0</v>
      </c>
      <c r="F126">
        <f>COUNTIFS(Table1[Section], "EMT", Table1[SubSection], "Plans and Processes", Table1[Operational Status ], "Not operational")</f>
        <v>0</v>
      </c>
      <c r="G126">
        <f>COUNTIFS(Table1[Section], "EMT", Table1[SubSection], "Plans and Processes", Table1[Operational Status ], "Limited operational functions")</f>
        <v>0</v>
      </c>
      <c r="H126">
        <f>COUNTIFS(Table1[Section], "EMT", Table1[SubSection], "Plans and Processes", Table1[Operational Status ], "Fully operational")</f>
        <v>0</v>
      </c>
      <c r="I126">
        <f t="shared" si="27"/>
        <v>0</v>
      </c>
      <c r="J126">
        <f>8*2</f>
        <v>16</v>
      </c>
      <c r="K126" s="34">
        <f t="shared" si="16"/>
        <v>0</v>
      </c>
    </row>
    <row r="127" spans="1:11" ht="26.1">
      <c r="A127" s="33"/>
      <c r="B127" s="7" t="s">
        <v>144</v>
      </c>
      <c r="C127">
        <f t="shared" ref="C127:C133" si="29">F127*0</f>
        <v>0</v>
      </c>
      <c r="D127">
        <f t="shared" ref="D127:D133" si="30">G127*1</f>
        <v>0</v>
      </c>
      <c r="E127">
        <f t="shared" ref="E127:E133" si="31">H127*2</f>
        <v>0</v>
      </c>
      <c r="F127">
        <f>COUNTIFS(Table1[Section], "EMT", Table1[SubSection], "Administrative Considerations", Table1[Operational Status ], "Not operational")</f>
        <v>0</v>
      </c>
      <c r="G127">
        <f>COUNTIFS(Table1[Section], "EMT", Table1[SubSection], "Administrative Considerations", Table1[Operational Status ], "Limited operational functions")</f>
        <v>0</v>
      </c>
      <c r="H127">
        <f>COUNTIFS(Table1[Section], "EMT", Table1[SubSection], "Administrative Considerations", Table1[Operational Status ], "Fully operational")</f>
        <v>0</v>
      </c>
      <c r="I127">
        <f t="shared" ref="I127" si="32">SUM(C127:E127)</f>
        <v>0</v>
      </c>
      <c r="J127">
        <f>7*2</f>
        <v>14</v>
      </c>
      <c r="K127" s="34">
        <f t="shared" ref="K127" si="33">I127/J127</f>
        <v>0</v>
      </c>
    </row>
    <row r="128" spans="1:11" ht="26.1">
      <c r="A128" s="33"/>
      <c r="B128" s="7" t="s">
        <v>47</v>
      </c>
      <c r="C128">
        <f t="shared" si="29"/>
        <v>0</v>
      </c>
      <c r="D128">
        <f t="shared" si="30"/>
        <v>0</v>
      </c>
      <c r="E128">
        <f t="shared" si="31"/>
        <v>0</v>
      </c>
      <c r="F128">
        <f>COUNTIFS(Table1[Section], "EMT", Table1[SubSection], "Staffing and Rostering", Table1[Operational Status ], "Not operational")</f>
        <v>0</v>
      </c>
      <c r="G128">
        <f>COUNTIFS(Table1[Section], "EMT", Table1[SubSection], "Staffing and Rostering", Table1[Operational Status ], "Limited operational functions")</f>
        <v>0</v>
      </c>
      <c r="H128">
        <f>COUNTIFS(Table1[Section], "EMT", Table1[SubSection], "Staffing and Rostering", Table1[Operational Status ], "Fully operational")</f>
        <v>0</v>
      </c>
      <c r="I128">
        <f t="shared" ref="I128:I134" si="34">SUM(C128:E128)</f>
        <v>0</v>
      </c>
      <c r="J128">
        <f>5*2</f>
        <v>10</v>
      </c>
      <c r="K128" s="34">
        <f t="shared" ref="K128:K134" si="35">I128/J128</f>
        <v>0</v>
      </c>
    </row>
    <row r="129" spans="1:12">
      <c r="A129" s="33"/>
      <c r="B129" s="7" t="s">
        <v>53</v>
      </c>
      <c r="C129">
        <f t="shared" si="29"/>
        <v>0</v>
      </c>
      <c r="D129">
        <f t="shared" si="30"/>
        <v>0</v>
      </c>
      <c r="E129">
        <f t="shared" si="31"/>
        <v>0</v>
      </c>
      <c r="F129">
        <f>COUNTIFS(Table1[Section], "EMT", Table1[SubSection], "Training Program", Table1[Operational Status ], "Not operational")</f>
        <v>0</v>
      </c>
      <c r="G129">
        <f>COUNTIFS(Table1[Section], "EMT", Table1[SubSection], "Training Program", Table1[Operational Status ], "Limited operational functions")</f>
        <v>0</v>
      </c>
      <c r="H129">
        <f>COUNTIFS(Table1[Section], "EMT", Table1[SubSection], "Training Program", Table1[Operational Status ], "Fully operational")</f>
        <v>0</v>
      </c>
      <c r="I129">
        <f t="shared" si="34"/>
        <v>0</v>
      </c>
      <c r="J129">
        <f>4*2</f>
        <v>8</v>
      </c>
      <c r="K129" s="34">
        <f t="shared" si="35"/>
        <v>0</v>
      </c>
    </row>
    <row r="130" spans="1:12" ht="26.1">
      <c r="A130" s="33"/>
      <c r="B130" s="7" t="s">
        <v>58</v>
      </c>
      <c r="C130">
        <f t="shared" si="29"/>
        <v>0</v>
      </c>
      <c r="D130">
        <f t="shared" si="30"/>
        <v>0</v>
      </c>
      <c r="E130">
        <f t="shared" si="31"/>
        <v>0</v>
      </c>
      <c r="F130">
        <f>COUNTIFS(Table1[Section], "EMT", Table1[SubSection], "Activation and Pre-Deployment", Table1[Operational Status ], "Not operational")</f>
        <v>0</v>
      </c>
      <c r="G130">
        <f>COUNTIFS(Table1[Section], "EMT", Table1[SubSection], "Activation and Pre-Deployment", Table1[Operational Status ], "Limited operational functions")</f>
        <v>0</v>
      </c>
      <c r="H130">
        <f>COUNTIFS(Table1[Section], "EMT", Table1[SubSection], "Activation and Pre-Deployment", Table1[Operational Status ], "Fully operational")</f>
        <v>0</v>
      </c>
      <c r="I130">
        <f t="shared" si="34"/>
        <v>0</v>
      </c>
      <c r="J130">
        <f>4*2</f>
        <v>8</v>
      </c>
      <c r="K130" s="34">
        <f t="shared" si="35"/>
        <v>0</v>
      </c>
    </row>
    <row r="131" spans="1:12">
      <c r="A131" s="33"/>
      <c r="B131" s="7" t="s">
        <v>63</v>
      </c>
      <c r="C131">
        <f t="shared" si="29"/>
        <v>0</v>
      </c>
      <c r="D131">
        <f t="shared" si="30"/>
        <v>0</v>
      </c>
      <c r="E131">
        <f t="shared" si="31"/>
        <v>0</v>
      </c>
      <c r="F131">
        <f>COUNTIFS(Table1[Section], "EMT", Table1[SubSection], "Deployment", Table1[Operational Status ], "Not operational")</f>
        <v>0</v>
      </c>
      <c r="G131">
        <f>COUNTIFS(Table1[Section], "EMT", Table1[SubSection], "Deployment", Table1[Operational Status ], "Limited operational functions")</f>
        <v>0</v>
      </c>
      <c r="H131">
        <f>COUNTIFS(Table1[Section], "EMT", Table1[SubSection], "Deployment", Table1[Operational Status ], "Fully operational")</f>
        <v>0</v>
      </c>
      <c r="I131">
        <f t="shared" si="34"/>
        <v>0</v>
      </c>
      <c r="J131">
        <f>6*2</f>
        <v>12</v>
      </c>
      <c r="K131" s="34">
        <f t="shared" si="35"/>
        <v>0</v>
      </c>
    </row>
    <row r="132" spans="1:12">
      <c r="A132" s="33"/>
      <c r="B132" s="7" t="s">
        <v>70</v>
      </c>
      <c r="C132">
        <f t="shared" si="29"/>
        <v>0</v>
      </c>
      <c r="D132">
        <f t="shared" si="30"/>
        <v>0</v>
      </c>
      <c r="E132">
        <f t="shared" si="31"/>
        <v>0</v>
      </c>
      <c r="F132">
        <f>COUNTIFS(Table1[Section], "EMT", Table1[SubSection], "Post-Deployment", Table1[Operational Status ], "Not operational")</f>
        <v>0</v>
      </c>
      <c r="G132">
        <f>COUNTIFS(Table1[Section], "EMT", Table1[SubSection], "Post-Deployment", Table1[Operational Status ], "Limited operational functions")</f>
        <v>0</v>
      </c>
      <c r="H132">
        <f>COUNTIFS(Table1[Section], "EMT", Table1[SubSection], "Post-Deployment", Table1[Operational Status ], "Fully operational")</f>
        <v>0</v>
      </c>
      <c r="I132">
        <f t="shared" si="34"/>
        <v>0</v>
      </c>
      <c r="J132">
        <f>3*2</f>
        <v>6</v>
      </c>
      <c r="K132" s="34">
        <f t="shared" si="35"/>
        <v>0</v>
      </c>
    </row>
    <row r="133" spans="1:12" ht="26.1">
      <c r="A133" s="33"/>
      <c r="B133" s="7" t="s">
        <v>145</v>
      </c>
      <c r="C133">
        <f t="shared" si="29"/>
        <v>0</v>
      </c>
      <c r="D133">
        <f t="shared" si="30"/>
        <v>0</v>
      </c>
      <c r="E133">
        <f t="shared" si="31"/>
        <v>0</v>
      </c>
      <c r="F133">
        <f>COUNTIFS(Table1[Section], "EMT", Table1[SubSection], "Monitoring and Evaluation", Table1[Operational Status ], "Not operational")</f>
        <v>0</v>
      </c>
      <c r="G133">
        <f>COUNTIFS(Table1[Section], "EMT", Table1[SubSection], "Monitoring and Evaluation", Table1[Operational Status ], "Limited operational functions")</f>
        <v>0</v>
      </c>
      <c r="H133">
        <f>COUNTIFS(Table1[Section], "EMT", Table1[SubSection], "Monitoring and Evaluation", Table1[Operational Status ], "Fully operational")</f>
        <v>0</v>
      </c>
      <c r="I133">
        <f t="shared" si="34"/>
        <v>0</v>
      </c>
      <c r="J133">
        <f>4*2</f>
        <v>8</v>
      </c>
      <c r="K133" s="34">
        <f t="shared" si="35"/>
        <v>0</v>
      </c>
    </row>
    <row r="134" spans="1:12" ht="26.1">
      <c r="A134" s="33"/>
      <c r="B134" s="7" t="s">
        <v>148</v>
      </c>
      <c r="C134">
        <f t="shared" si="24"/>
        <v>0</v>
      </c>
      <c r="D134">
        <f t="shared" si="25"/>
        <v>0</v>
      </c>
      <c r="E134">
        <f t="shared" si="26"/>
        <v>0</v>
      </c>
      <c r="F134">
        <f>COUNTIFS(Table1[Section], "EMT", Table1[SubSection], "Cross-Border Considerations", Table1[Operational Status ], "Not operational")</f>
        <v>0</v>
      </c>
      <c r="G134">
        <f>COUNTIFS(Table1[Section], "EMT", Table1[SubSection], "Cross-Border Considerations", Table1[Operational Status ], "Limited operational functions")</f>
        <v>0</v>
      </c>
      <c r="H134">
        <f>COUNTIFS(Table1[Section], "EMT", Table1[SubSection], "Cross-Border Considerations", Table1[Operational Status ], "Fully operational")</f>
        <v>0</v>
      </c>
      <c r="I134">
        <f t="shared" si="34"/>
        <v>0</v>
      </c>
      <c r="J134">
        <f>3*2</f>
        <v>6</v>
      </c>
      <c r="K134" s="34">
        <f t="shared" si="35"/>
        <v>0</v>
      </c>
    </row>
    <row r="135" spans="1:12">
      <c r="A135" s="33" t="s">
        <v>83</v>
      </c>
      <c r="B135" t="s">
        <v>136</v>
      </c>
      <c r="C135">
        <f t="shared" si="24"/>
        <v>0</v>
      </c>
      <c r="D135">
        <f t="shared" si="25"/>
        <v>0</v>
      </c>
      <c r="E135">
        <f t="shared" si="26"/>
        <v>0</v>
      </c>
      <c r="F135">
        <f>COUNTIFS(Table1[Section], "RRT", Table1[SubSection], "Plans and Processes", Table1[Operational Status ], "Not operational")</f>
        <v>0</v>
      </c>
      <c r="G135">
        <f>COUNTIFS(Table1[Section], "RRT", Table1[SubSection], "Plans and Processes", Table1[Operational Status ], "Limited operational functions")</f>
        <v>0</v>
      </c>
      <c r="H135">
        <f>COUNTIFS(Table1[Section], "RRT", Table1[SubSection], "Plans and Processes", Table1[Operational Status ], "Fully operational")</f>
        <v>0</v>
      </c>
      <c r="I135">
        <f t="shared" si="27"/>
        <v>0</v>
      </c>
      <c r="J135">
        <f>7*2</f>
        <v>14</v>
      </c>
      <c r="K135" s="34">
        <f t="shared" si="16"/>
        <v>0</v>
      </c>
    </row>
    <row r="136" spans="1:12">
      <c r="A136" s="33"/>
      <c r="B136" t="s">
        <v>144</v>
      </c>
      <c r="C136">
        <f t="shared" si="24"/>
        <v>0</v>
      </c>
      <c r="D136">
        <f t="shared" si="25"/>
        <v>0</v>
      </c>
      <c r="E136">
        <f t="shared" si="26"/>
        <v>0</v>
      </c>
      <c r="F136">
        <f>COUNTIFS(Table1[Section], "RRT", Table1[SubSection], "Administrative Considerations", Table1[Operational Status ], "Not operational")</f>
        <v>0</v>
      </c>
      <c r="G136">
        <f>COUNTIFS(Table1[Section], "RRT", Table1[SubSection], "Administrative Considerations", Table1[Operational Status ], "Limited operational functions")</f>
        <v>0</v>
      </c>
      <c r="H136">
        <f>COUNTIFS(Table1[Section], "RRT", Table1[SubSection], "Administrative Considerations", Table1[Operational Status ], "Fully operational")</f>
        <v>0</v>
      </c>
      <c r="I136">
        <f t="shared" si="27"/>
        <v>0</v>
      </c>
      <c r="J136">
        <f>6*2</f>
        <v>12</v>
      </c>
      <c r="K136" s="34">
        <f t="shared" si="16"/>
        <v>0</v>
      </c>
    </row>
    <row r="137" spans="1:12">
      <c r="A137" s="33"/>
      <c r="B137" t="s">
        <v>47</v>
      </c>
      <c r="C137">
        <f t="shared" si="24"/>
        <v>0</v>
      </c>
      <c r="D137">
        <f t="shared" si="25"/>
        <v>0</v>
      </c>
      <c r="E137">
        <f t="shared" si="26"/>
        <v>0</v>
      </c>
      <c r="F137">
        <f>COUNTIFS(Table1[Section], "RRT", Table1[SubSection], "Staffing and Rostering", Table1[Operational Status ], "Not operational")</f>
        <v>0</v>
      </c>
      <c r="G137">
        <f>COUNTIFS(Table1[Section], "RRT", Table1[SubSection], "Staffing and Rostering", Table1[Operational Status ], "Limited operational functions")</f>
        <v>0</v>
      </c>
      <c r="H137">
        <f>COUNTIFS(Table1[Section], "RRT", Table1[SubSection], "Staffing and Rostering", Table1[Operational Status ], "Fully operational")</f>
        <v>0</v>
      </c>
      <c r="I137">
        <f t="shared" si="27"/>
        <v>0</v>
      </c>
      <c r="J137">
        <f>3*2</f>
        <v>6</v>
      </c>
      <c r="K137" s="34">
        <f t="shared" si="16"/>
        <v>0</v>
      </c>
    </row>
    <row r="138" spans="1:12">
      <c r="A138" s="33"/>
      <c r="B138" t="s">
        <v>53</v>
      </c>
      <c r="C138">
        <f t="shared" si="24"/>
        <v>0</v>
      </c>
      <c r="D138">
        <f t="shared" si="25"/>
        <v>0</v>
      </c>
      <c r="E138">
        <f t="shared" si="26"/>
        <v>0</v>
      </c>
      <c r="F138">
        <f>COUNTIFS(Table1[Section], "RRT", Table1[SubSection], "Training Program", Table1[Operational Status ], "Not operational")</f>
        <v>0</v>
      </c>
      <c r="G138">
        <f>COUNTIFS(Table1[Section], "RRT", Table1[SubSection],  "Training Program", Table1[Operational Status ], "Limited operational functions")</f>
        <v>0</v>
      </c>
      <c r="H138">
        <f>COUNTIFS(Table1[Section], "RRT", Table1[SubSection],  "Training Program", Table1[Operational Status ], "Fully operational")</f>
        <v>0</v>
      </c>
      <c r="I138">
        <f t="shared" si="27"/>
        <v>0</v>
      </c>
      <c r="J138">
        <f>5*2</f>
        <v>10</v>
      </c>
      <c r="K138" s="34">
        <f t="shared" si="16"/>
        <v>0</v>
      </c>
    </row>
    <row r="139" spans="1:12">
      <c r="A139" s="33"/>
      <c r="B139" t="s">
        <v>58</v>
      </c>
      <c r="C139">
        <f t="shared" si="24"/>
        <v>0</v>
      </c>
      <c r="D139">
        <f t="shared" si="25"/>
        <v>0</v>
      </c>
      <c r="E139">
        <f t="shared" si="26"/>
        <v>0</v>
      </c>
      <c r="F139">
        <f>COUNTIFS(Table1[Section], "RRT", Table1[SubSection], "Activation and Pre-Deployment", Table1[Operational Status ], "Not operational")</f>
        <v>0</v>
      </c>
      <c r="G139">
        <f>COUNTIFS(Table1[Section], "RRT", Table1[SubSection],  "Activation and Pre-Deployment",Table1[Operational Status ], "Limited operational functions")</f>
        <v>0</v>
      </c>
      <c r="H139">
        <f>COUNTIFS(Table1[Section], "RRT", Table1[SubSection],  "Activation and Pre-Deployment", Table1[Operational Status ], "Fully operational")</f>
        <v>0</v>
      </c>
      <c r="I139">
        <f t="shared" si="27"/>
        <v>0</v>
      </c>
      <c r="J139">
        <f>5*2</f>
        <v>10</v>
      </c>
      <c r="K139" s="34">
        <f t="shared" si="16"/>
        <v>0</v>
      </c>
    </row>
    <row r="140" spans="1:12">
      <c r="A140" s="33"/>
      <c r="B140" t="s">
        <v>63</v>
      </c>
      <c r="C140">
        <f t="shared" si="24"/>
        <v>0</v>
      </c>
      <c r="D140">
        <f t="shared" si="25"/>
        <v>0</v>
      </c>
      <c r="E140">
        <f t="shared" si="26"/>
        <v>0</v>
      </c>
      <c r="F140">
        <f>COUNTIFS(Table1[Section], "RRT", Table1[SubSection], "Deployment",Table1[Operational Status ], "Not operational")</f>
        <v>0</v>
      </c>
      <c r="G140">
        <f>COUNTIFS(Table1[Section], "RRT", Table1[SubSection], "Deployment", Table1[Operational Status ], "Limited operational functions")</f>
        <v>0</v>
      </c>
      <c r="H140">
        <f>COUNTIFS(Table1[Section], "RRT", Table1[SubSection], "Deployment", Table1[Operational Status ], "Fully operational")</f>
        <v>0</v>
      </c>
      <c r="I140">
        <f t="shared" si="27"/>
        <v>0</v>
      </c>
      <c r="J140">
        <f>6*2</f>
        <v>12</v>
      </c>
      <c r="K140" s="34">
        <f t="shared" si="16"/>
        <v>0</v>
      </c>
    </row>
    <row r="141" spans="1:12">
      <c r="A141" s="33"/>
      <c r="B141" t="s">
        <v>70</v>
      </c>
      <c r="C141">
        <f t="shared" si="24"/>
        <v>0</v>
      </c>
      <c r="D141">
        <f t="shared" si="25"/>
        <v>0</v>
      </c>
      <c r="E141">
        <f t="shared" si="26"/>
        <v>0</v>
      </c>
      <c r="F141">
        <f>COUNTIFS(Table1[Section], "RRT", Table1[SubSection], "Post-Deployment", Table1[Operational Status ], "Not operational")</f>
        <v>0</v>
      </c>
      <c r="G141">
        <f>COUNTIFS(Table1[Section], "RRT", Table1[SubSection], "Post-Deployment", Table1[Operational Status ], "Limited operational functions")</f>
        <v>0</v>
      </c>
      <c r="H141">
        <f>COUNTIFS(Table1[Section], "RRT", Table1[SubSection], "Post-Deployment",Table1[Operational Status ], "Fully operational")</f>
        <v>0</v>
      </c>
      <c r="I141">
        <f t="shared" si="27"/>
        <v>0</v>
      </c>
      <c r="J141">
        <f>3*2</f>
        <v>6</v>
      </c>
      <c r="K141" s="34">
        <f t="shared" si="16"/>
        <v>0</v>
      </c>
    </row>
    <row r="142" spans="1:12">
      <c r="B142" t="s">
        <v>145</v>
      </c>
      <c r="C142">
        <f t="shared" si="24"/>
        <v>0</v>
      </c>
      <c r="D142">
        <f t="shared" ref="D142" si="36">G142*0</f>
        <v>0</v>
      </c>
      <c r="E142">
        <f>H142*2</f>
        <v>0</v>
      </c>
      <c r="F142">
        <f>COUNTIFS(Table1[Section], "RRT", Table1[SubSection], "Monitoring and Evaluation", Table1[Operational Status ], "Not operational")</f>
        <v>0</v>
      </c>
      <c r="G142">
        <f>COUNTIFS(Table1[Section], "RRT", Table1[SubSection], "Monitoring and Evaluation", Table1[Operational Status ], "Limited operational functions")</f>
        <v>0</v>
      </c>
      <c r="H142">
        <f>COUNTIFS(Table1[Section], "RRT", Table1[SubSection], "Monitoring and Evaluation", Table1[Operational Status ], "Fully operational")</f>
        <v>0</v>
      </c>
      <c r="I142">
        <f t="shared" si="27"/>
        <v>0</v>
      </c>
      <c r="J142">
        <f>4*2</f>
        <v>8</v>
      </c>
      <c r="K142" s="41">
        <f t="shared" si="16"/>
        <v>0</v>
      </c>
      <c r="L142" s="33"/>
    </row>
    <row r="143" spans="1:12" ht="26.45" thickBot="1">
      <c r="B143" s="43" t="s">
        <v>79</v>
      </c>
      <c r="C143">
        <f t="shared" ref="C143" si="37">F143*0</f>
        <v>0</v>
      </c>
      <c r="D143" s="38">
        <f t="shared" ref="D143" si="38">G143*0</f>
        <v>0</v>
      </c>
      <c r="E143">
        <f>H143*2</f>
        <v>0</v>
      </c>
      <c r="F143" s="38">
        <f>COUNTIFS(Table1[Section], "RRT", Table1[SubSection], "Cross-Border Considerations", Table1[Operational Status ], "Not operational")</f>
        <v>0</v>
      </c>
      <c r="G143">
        <f>COUNTIFS(Table1[Section], "RRT", Table1[SubSection], "Cross-Border Considerations", Table1[Operational Status ], "Limited operational functions")</f>
        <v>0</v>
      </c>
      <c r="H143">
        <f>COUNTIFS(Table1[Section], "RRT", Table1[SubSection], "Cross-Border Considerations", Table1[Operational Status ], "Fully operational")</f>
        <v>0</v>
      </c>
      <c r="I143" s="38">
        <f t="shared" ref="I143" si="39">SUM(C143:E143)</f>
        <v>0</v>
      </c>
      <c r="J143">
        <f>3*2</f>
        <v>6</v>
      </c>
      <c r="K143" s="41">
        <f t="shared" si="16"/>
        <v>0</v>
      </c>
      <c r="L143" s="33"/>
    </row>
    <row r="144" spans="1:12">
      <c r="A144" s="42"/>
      <c r="C144" s="42"/>
      <c r="E144" s="42"/>
      <c r="G144" s="42"/>
      <c r="H144" s="42"/>
      <c r="J144" s="42"/>
      <c r="K144" s="42"/>
    </row>
  </sheetData>
  <mergeCells count="12">
    <mergeCell ref="C116:E116"/>
    <mergeCell ref="F116:H116"/>
    <mergeCell ref="I116:K116"/>
    <mergeCell ref="I87:K87"/>
    <mergeCell ref="A86:K86"/>
    <mergeCell ref="B67:D67"/>
    <mergeCell ref="E67:G67"/>
    <mergeCell ref="A66:I66"/>
    <mergeCell ref="C87:E87"/>
    <mergeCell ref="F87:H87"/>
    <mergeCell ref="B73:D73"/>
    <mergeCell ref="E73:G7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  <SharedWithUsers xmlns="450f158c-397a-4a9d-b005-a44c92e0fccb">
      <UserInfo>
        <DisplayName>SPAETH, Allyson Mary</DisplayName>
        <AccountId>20</AccountId>
        <AccountType/>
      </UserInfo>
      <UserInfo>
        <DisplayName>SharingLinks.af46bc0b-394a-44c7-be44-8a4ce58af3f0.OrganizationEdit.713bcc9d-cc81-4c46-a46b-bcad43d98bf6</DisplayName>
        <AccountId>176</AccountId>
        <AccountType/>
      </UserInfo>
      <UserInfo>
        <DisplayName>SharingLinks.4a54c125-7c21-43c7-9ebd-c51326217795.OrganizationEdit.1e15a0b3-79ed-40af-b574-0a6d08ea7a86</DisplayName>
        <AccountId>246</AccountId>
        <AccountType/>
      </UserInfo>
      <UserInfo>
        <DisplayName>DOMINGUES, Marlene</DisplayName>
        <AccountId>18</AccountId>
        <AccountType/>
      </UserInfo>
      <UserInfo>
        <DisplayName>SharingLinks.c4d898ea-dfbe-4a1f-92ca-1c5ec31fa637.OrganizationEdit.cc3b9171-267a-4537-8c2d-0c707f6c5455</DisplayName>
        <AccountId>247</AccountId>
        <AccountType/>
      </UserInfo>
      <UserInfo>
        <DisplayName>RUTAGENGWA, Alfred</DisplayName>
        <AccountId>1695</AccountId>
        <AccountType/>
      </UserInfo>
      <UserInfo>
        <DisplayName>BONKOUNGOU, Boukare</DisplayName>
        <AccountId>491</AccountId>
        <AccountType/>
      </UserInfo>
      <UserInfo>
        <DisplayName>EZZINE, Hind</DisplayName>
        <AccountId>544</AccountId>
        <AccountType/>
      </UserInfo>
      <UserInfo>
        <DisplayName>PHILBERT LAJOLO, Camila</DisplayName>
        <AccountId>1246</AccountId>
        <AccountType/>
      </UserInfo>
      <UserInfo>
        <DisplayName>MAKAYOTO, Lyndah</DisplayName>
        <AccountId>1696</AccountId>
        <AccountType/>
      </UserInfo>
      <UserInfo>
        <DisplayName>FROST, Melinda</DisplayName>
        <AccountId>620</AccountId>
        <AccountType/>
      </UserInfo>
      <UserInfo>
        <DisplayName>SHAMSELDEIN, Sherif</DisplayName>
        <AccountId>1693</AccountId>
        <AccountType/>
      </UserInfo>
      <UserInfo>
        <DisplayName>ABIANURU, Amarachi</DisplayName>
        <AccountId>1697</AccountId>
        <AccountType/>
      </UserInfo>
      <UserInfo>
        <DisplayName>GOMEZ, Paula</DisplayName>
        <AccountId>40</AccountId>
        <AccountType/>
      </UserInfo>
    </SharedWithUsers>
    <MediaLengthInSeconds xmlns="e2a64997-203d-4655-a595-383c2eb1e86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203184-C044-4506-B388-6F341718404D}"/>
</file>

<file path=customXml/itemProps2.xml><?xml version="1.0" encoding="utf-8"?>
<ds:datastoreItem xmlns:ds="http://schemas.openxmlformats.org/officeDocument/2006/customXml" ds:itemID="{D3E8AC68-E83A-4C8B-B177-0878695B47D5}"/>
</file>

<file path=customXml/itemProps3.xml><?xml version="1.0" encoding="utf-8"?>
<ds:datastoreItem xmlns:ds="http://schemas.openxmlformats.org/officeDocument/2006/customXml" ds:itemID="{9F1914CC-7219-43E3-B21C-9BACA3A2FE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Greiner, Ashley (CDC/DDPHSIS/CGH/DGHP)</dc:creator>
  <cp:keywords/>
  <dc:description/>
  <cp:lastModifiedBy>GOMEZ, Paula</cp:lastModifiedBy>
  <cp:revision/>
  <dcterms:created xsi:type="dcterms:W3CDTF">2022-04-20T19:44:36Z</dcterms:created>
  <dcterms:modified xsi:type="dcterms:W3CDTF">2024-09-11T12:28:00Z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2022-04-20T20:00:05Z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864a38c9-7c6d-4c9c-8be1-6ae92252a851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0x01010063D8C0AFE3A8684EAD891AA7EE49FBD9</vt:lpwstr>
  </property>
  <property fmtid="{D5CDD505-2E9C-101B-9397-08002B2CF9AE}" pid="10" name="MediaServiceImageTags">
    <vt:lpwstr/>
  </property>
  <property fmtid="{D5CDD505-2E9C-101B-9397-08002B2CF9AE}" pid="11" name="Order">
    <vt:r8>8846000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  <property fmtid="{D5CDD505-2E9C-101B-9397-08002B2CF9AE}" pid="18" name="_AdHocReviewCycleID">
    <vt:i4>-823394007</vt:i4>
  </property>
  <property fmtid="{D5CDD505-2E9C-101B-9397-08002B2CF9AE}" pid="19" name="_NewReviewCycle">
    <vt:lpwstr/>
  </property>
  <property fmtid="{D5CDD505-2E9C-101B-9397-08002B2CF9AE}" pid="20" name="_EmailSubject">
    <vt:lpwstr>RRT-EMT HQ/RFPs monthly meeting</vt:lpwstr>
  </property>
  <property fmtid="{D5CDD505-2E9C-101B-9397-08002B2CF9AE}" pid="21" name="_AuthorEmail">
    <vt:lpwstr>relanp@who.int</vt:lpwstr>
  </property>
  <property fmtid="{D5CDD505-2E9C-101B-9397-08002B2CF9AE}" pid="22" name="_AuthorEmailDisplayName">
    <vt:lpwstr>RELAN, Pryanka</vt:lpwstr>
  </property>
  <property fmtid="{D5CDD505-2E9C-101B-9397-08002B2CF9AE}" pid="23" name="_ReviewingToolsShownOnce">
    <vt:lpwstr/>
  </property>
</Properties>
</file>